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0" windowWidth="15330" windowHeight="6555" tabRatio="912" activeTab="0"/>
  </bookViews>
  <sheets>
    <sheet name="Sheet1" sheetId="1" r:id="rId1"/>
    <sheet name="Notes Page" sheetId="2" r:id="rId2"/>
    <sheet name="Tenure Split - new" sheetId="3" r:id="rId3"/>
    <sheet name="Areas" sheetId="4" r:id="rId4"/>
    <sheet name="BCIS Smmary" sheetId="5" r:id="rId5"/>
    <sheet name="Substructure" sheetId="6" r:id="rId6"/>
    <sheet name="Frame" sheetId="7" r:id="rId7"/>
    <sheet name="Upper floors" sheetId="8" r:id="rId8"/>
    <sheet name="Roof" sheetId="9" r:id="rId9"/>
    <sheet name="Stairs" sheetId="10" r:id="rId10"/>
    <sheet name="External walls,Doors and Window" sheetId="11" r:id="rId11"/>
    <sheet name="Internal walls" sheetId="12" r:id="rId12"/>
    <sheet name="Internal doors" sheetId="13" r:id="rId13"/>
    <sheet name="Wall finishes" sheetId="14" r:id="rId14"/>
    <sheet name="Floor finishes" sheetId="15" r:id="rId15"/>
    <sheet name="Ceiling finishes" sheetId="16" r:id="rId16"/>
    <sheet name="Fittings" sheetId="17" r:id="rId17"/>
    <sheet name="Services" sheetId="18" r:id="rId18"/>
    <sheet name="Roads paths etc" sheetId="19" r:id="rId19"/>
    <sheet name="Drainage" sheetId="20" r:id="rId20"/>
    <sheet name="External services" sheetId="21" r:id="rId21"/>
  </sheets>
  <externalReferences>
    <externalReference r:id="rId24"/>
    <externalReference r:id="rId25"/>
  </externalReferences>
  <definedNames>
    <definedName name="_xlnm.Print_Area" localSheetId="4">'BCIS Smmary'!$A$1:$N$77</definedName>
    <definedName name="_xlnm.Print_Area" localSheetId="15">'Ceiling finishes'!$A$1:$I$32</definedName>
    <definedName name="_xlnm.Print_Area" localSheetId="19">'Drainage'!$A$1:$I$48</definedName>
    <definedName name="_xlnm.Print_Area" localSheetId="20">'External services'!$A$1:$I$49</definedName>
    <definedName name="_xlnm.Print_Area" localSheetId="10">'External walls,Doors and Window'!$A$1:$J$41</definedName>
    <definedName name="_xlnm.Print_Area" localSheetId="16">'Fittings'!$A$1:$I$38</definedName>
    <definedName name="_xlnm.Print_Area" localSheetId="14">'Floor finishes'!$A$1:$I$41</definedName>
    <definedName name="_xlnm.Print_Area" localSheetId="6">'Frame'!$A$1:$I$53</definedName>
    <definedName name="_xlnm.Print_Area" localSheetId="12">'Internal doors'!$A$1:$I$26</definedName>
    <definedName name="_xlnm.Print_Area" localSheetId="11">'Internal walls'!$A$1:$I$43</definedName>
    <definedName name="_xlnm.Print_Area" localSheetId="18">'Roads paths etc'!$A$1:$I$49</definedName>
    <definedName name="_xlnm.Print_Area" localSheetId="8">'Roof'!$A$1:$I$45</definedName>
    <definedName name="_xlnm.Print_Area" localSheetId="17">'Services'!$A$1:$L$75</definedName>
    <definedName name="_xlnm.Print_Area" localSheetId="0">'Sheet1'!$B$3:$J$180</definedName>
    <definedName name="_xlnm.Print_Area" localSheetId="9">'Stairs'!$A$1:$I$40</definedName>
    <definedName name="_xlnm.Print_Area" localSheetId="5">'Substructure'!$A$1:$M$42</definedName>
    <definedName name="_xlnm.Print_Area" localSheetId="2">'Tenure Split - new'!$A$1:$K$67</definedName>
    <definedName name="_xlnm.Print_Area" localSheetId="7">'Upper floors'!$A$1:$I$50</definedName>
    <definedName name="_xlnm.Print_Area" localSheetId="13">'Wall finishes'!$A$1:$I$42</definedName>
  </definedNames>
  <calcPr fullCalcOnLoad="1"/>
</workbook>
</file>

<file path=xl/comments3.xml><?xml version="1.0" encoding="utf-8"?>
<comments xmlns="http://schemas.openxmlformats.org/spreadsheetml/2006/main">
  <authors>
    <author>kregan</author>
  </authors>
  <commentList>
    <comment ref="J2" authorId="0">
      <text>
        <r>
          <rPr>
            <b/>
            <sz val="8"/>
            <rFont val="Tahoma"/>
            <family val="0"/>
          </rPr>
          <t>kregan:</t>
        </r>
        <r>
          <rPr>
            <sz val="8"/>
            <rFont val="Tahoma"/>
            <family val="0"/>
          </rPr>
          <t xml:space="preserve">
See sum of cells J46:J48
</t>
        </r>
      </text>
    </comment>
  </commentList>
</comments>
</file>

<file path=xl/sharedStrings.xml><?xml version="1.0" encoding="utf-8"?>
<sst xmlns="http://schemas.openxmlformats.org/spreadsheetml/2006/main" count="1503" uniqueCount="586">
  <si>
    <t>Element</t>
  </si>
  <si>
    <t>Total cost</t>
  </si>
  <si>
    <t>of element</t>
  </si>
  <si>
    <t>floor area</t>
  </si>
  <si>
    <t>Element unit</t>
  </si>
  <si>
    <t>rate</t>
  </si>
  <si>
    <t>quantity</t>
  </si>
  <si>
    <t>£</t>
  </si>
  <si>
    <t xml:space="preserve"> </t>
  </si>
  <si>
    <t>Unit</t>
  </si>
  <si>
    <t>ELEMENTAL COSTS</t>
  </si>
  <si>
    <t>Description</t>
  </si>
  <si>
    <t>Sub total</t>
  </si>
  <si>
    <t>BWIC</t>
  </si>
  <si>
    <t>Services total to summary</t>
  </si>
  <si>
    <t>2.C Roof total to summary</t>
  </si>
  <si>
    <t>2.D Stairs total to summary</t>
  </si>
  <si>
    <t>3.A WALL FINISHES</t>
  </si>
  <si>
    <t>3.B FLOOR FINISHES</t>
  </si>
  <si>
    <t>3.C CEILING FINISHES</t>
  </si>
  <si>
    <t>3.C Ceiling finishes total to summary</t>
  </si>
  <si>
    <t>4.0 FITTINGS &amp; FURNISHINGS</t>
  </si>
  <si>
    <t>4.0 Fittings total to summary</t>
  </si>
  <si>
    <t>5.0 SERVICES</t>
  </si>
  <si>
    <t>San ware,Disposal systems,M&amp;E,Lift</t>
  </si>
  <si>
    <t>3.B Floor finishes total to summary</t>
  </si>
  <si>
    <t>cost m2 of</t>
  </si>
  <si>
    <t>Site preparation &amp; demolition</t>
  </si>
  <si>
    <t>Retaining walls,fencing</t>
  </si>
  <si>
    <t>6.A Site works to summary</t>
  </si>
  <si>
    <t>6.B DRAINAGE</t>
  </si>
  <si>
    <t>6.B Drainage total to summary</t>
  </si>
  <si>
    <t>6.C EXTERNAL SERVICES</t>
  </si>
  <si>
    <t>6.C External services total to summary</t>
  </si>
  <si>
    <t>cost per m2 of</t>
  </si>
  <si>
    <t>6.A SITE WORKS</t>
  </si>
  <si>
    <t>Sq.m</t>
  </si>
  <si>
    <t>Ground</t>
  </si>
  <si>
    <t>First</t>
  </si>
  <si>
    <t>1.0 SUBSTRUCTURE</t>
  </si>
  <si>
    <t>2.A FRAME</t>
  </si>
  <si>
    <t>2.B UPPER FLOORS</t>
  </si>
  <si>
    <t>2.C ROOF</t>
  </si>
  <si>
    <t>2.D STAIRS</t>
  </si>
  <si>
    <t>2.G INTERNAL WALLS</t>
  </si>
  <si>
    <t>2.H INTERNAL DOORS</t>
  </si>
  <si>
    <t>1.0 Substructure total to summary</t>
  </si>
  <si>
    <t>2.A Frame total to summary</t>
  </si>
  <si>
    <t>2.B Upper floors total to summary</t>
  </si>
  <si>
    <t>2.E, F EXTERNAL WALLS,WINDOWS AND EXTERNAL DOORS</t>
  </si>
  <si>
    <t>WATES CONSTRUCTION Ltd.</t>
  </si>
  <si>
    <t xml:space="preserve"> COST ESTIMATE</t>
  </si>
  <si>
    <t>}</t>
  </si>
  <si>
    <t>m²</t>
  </si>
  <si>
    <t xml:space="preserve"> ELEMENTAL  ANALYSIS </t>
  </si>
  <si>
    <t>ft²</t>
  </si>
  <si>
    <t>Costs.</t>
  </si>
  <si>
    <t>£ /m²</t>
  </si>
  <si>
    <t>£ / ft²</t>
  </si>
  <si>
    <t xml:space="preserve"> 1-</t>
  </si>
  <si>
    <t xml:space="preserve">SUBSTRUCTURE </t>
  </si>
  <si>
    <t xml:space="preserve">[GROUP ELEMENT TOTAL]   </t>
  </si>
  <si>
    <t xml:space="preserve"> 2-</t>
  </si>
  <si>
    <t>SUPERSTRUCTURE.</t>
  </si>
  <si>
    <t>2-A</t>
  </si>
  <si>
    <t xml:space="preserve"> Frame.</t>
  </si>
  <si>
    <t>2-B</t>
  </si>
  <si>
    <t xml:space="preserve"> Upper Floors.</t>
  </si>
  <si>
    <t>2-C</t>
  </si>
  <si>
    <t xml:space="preserve"> Roof.</t>
  </si>
  <si>
    <t>2-D</t>
  </si>
  <si>
    <t xml:space="preserve"> Stairs.</t>
  </si>
  <si>
    <t>2-E/F</t>
  </si>
  <si>
    <t xml:space="preserve"> External Walls,Windows and External Doors</t>
  </si>
  <si>
    <t>2-G</t>
  </si>
  <si>
    <t xml:space="preserve"> Internal Walls.</t>
  </si>
  <si>
    <t>2-H</t>
  </si>
  <si>
    <t xml:space="preserve"> Internal Doors.</t>
  </si>
  <si>
    <t xml:space="preserve"> 3-</t>
  </si>
  <si>
    <t>INTERNAL FINISHES.</t>
  </si>
  <si>
    <t>3-A</t>
  </si>
  <si>
    <t xml:space="preserve"> Wall Finishes.</t>
  </si>
  <si>
    <t>3-B</t>
  </si>
  <si>
    <t xml:space="preserve"> Floor Finishes.</t>
  </si>
  <si>
    <t>3-C</t>
  </si>
  <si>
    <t xml:space="preserve"> Ceiling Finishes.</t>
  </si>
  <si>
    <t xml:space="preserve"> 4-</t>
  </si>
  <si>
    <t>FITTINGS AND FURNISHINGS.</t>
  </si>
  <si>
    <t xml:space="preserve"> 5-</t>
  </si>
  <si>
    <t>SERVICES.</t>
  </si>
  <si>
    <t>5-A</t>
  </si>
  <si>
    <t xml:space="preserve"> Sanitary Appliances.</t>
  </si>
  <si>
    <t>)</t>
  </si>
  <si>
    <t>5-B</t>
  </si>
  <si>
    <t xml:space="preserve"> Services Equipment.</t>
  </si>
  <si>
    <t>5-C</t>
  </si>
  <si>
    <t xml:space="preserve"> Disposal Installations.</t>
  </si>
  <si>
    <t>5-D</t>
  </si>
  <si>
    <t xml:space="preserve"> Water Installations.</t>
  </si>
  <si>
    <t>5-E</t>
  </si>
  <si>
    <t xml:space="preserve"> Heat Source.</t>
  </si>
  <si>
    <t>5-F</t>
  </si>
  <si>
    <t xml:space="preserve"> Space Heating/Air Treatment.</t>
  </si>
  <si>
    <t>5-G</t>
  </si>
  <si>
    <t xml:space="preserve"> Ventilating System.</t>
  </si>
  <si>
    <t>5-H</t>
  </si>
  <si>
    <t xml:space="preserve"> Electrical Installations.</t>
  </si>
  <si>
    <t>5-I</t>
  </si>
  <si>
    <t xml:space="preserve"> Gas Installations.</t>
  </si>
  <si>
    <t>5-J</t>
  </si>
  <si>
    <t xml:space="preserve"> Lift Installations.</t>
  </si>
  <si>
    <t>5-K</t>
  </si>
  <si>
    <t xml:space="preserve"> Protective Installations.</t>
  </si>
  <si>
    <t>5-L</t>
  </si>
  <si>
    <t xml:space="preserve"> Communication Installations.</t>
  </si>
  <si>
    <t>5-M</t>
  </si>
  <si>
    <t xml:space="preserve"> Special Installations.</t>
  </si>
  <si>
    <t>5-N</t>
  </si>
  <si>
    <t>BUILDING SUB-TOTAL</t>
  </si>
  <si>
    <t xml:space="preserve"> 6-</t>
  </si>
  <si>
    <t>EXTERNAL WORKS.</t>
  </si>
  <si>
    <t>6-A</t>
  </si>
  <si>
    <t>6-B</t>
  </si>
  <si>
    <t>6-C</t>
  </si>
  <si>
    <t>EXTERNAL WORKS SUB-TOTAL</t>
  </si>
  <si>
    <t>Contingency</t>
  </si>
  <si>
    <t>ESTIMATE TOTAL</t>
  </si>
  <si>
    <t>OVERHEADS AND PROFIT</t>
  </si>
  <si>
    <t>GROSS INTERNAL FLOOR AREA:-</t>
  </si>
  <si>
    <t xml:space="preserve">GENERAL SUMMARY- </t>
  </si>
  <si>
    <t>Gross Internal Floor areas</t>
  </si>
  <si>
    <t>Location</t>
  </si>
  <si>
    <t>Second</t>
  </si>
  <si>
    <t>Third</t>
  </si>
  <si>
    <t>Fourth</t>
  </si>
  <si>
    <t>Fifth</t>
  </si>
  <si>
    <t>Total</t>
  </si>
  <si>
    <t>Grd</t>
  </si>
  <si>
    <t>Girth</t>
  </si>
  <si>
    <t>Ht</t>
  </si>
  <si>
    <t>first</t>
  </si>
  <si>
    <t>second</t>
  </si>
  <si>
    <t>third</t>
  </si>
  <si>
    <t>total</t>
  </si>
  <si>
    <t>fifth</t>
  </si>
  <si>
    <t>sixth</t>
  </si>
  <si>
    <t>fourth</t>
  </si>
  <si>
    <t>2.E/F External walls total to summary</t>
  </si>
  <si>
    <t>2.G Internal walls total to summary</t>
  </si>
  <si>
    <t>2. Internal Doors total to summary</t>
  </si>
  <si>
    <t>2A. Wall Finishes total to summary</t>
  </si>
  <si>
    <t xml:space="preserve"> Builders Costs Associated with Services        )</t>
  </si>
  <si>
    <t>Drainage.</t>
  </si>
  <si>
    <t>External Services.</t>
  </si>
  <si>
    <t>Perimeter</t>
  </si>
  <si>
    <t>M.</t>
  </si>
  <si>
    <t>=</t>
  </si>
  <si>
    <t>Flats</t>
  </si>
  <si>
    <t>Excavate and c/a</t>
  </si>
  <si>
    <t>Grd beams</t>
  </si>
  <si>
    <t>Slab</t>
  </si>
  <si>
    <t>Rate</t>
  </si>
  <si>
    <t>Pile caps</t>
  </si>
  <si>
    <t>Item</t>
  </si>
  <si>
    <t>Cu.m</t>
  </si>
  <si>
    <t>Nr.</t>
  </si>
  <si>
    <t>Cost per sq.m</t>
  </si>
  <si>
    <t xml:space="preserve">Roof structure </t>
  </si>
  <si>
    <t>Insulation</t>
  </si>
  <si>
    <t>Allowance for rainwater installation</t>
  </si>
  <si>
    <t>External wall areas</t>
  </si>
  <si>
    <t>Height</t>
  </si>
  <si>
    <t>Area</t>
  </si>
  <si>
    <t>system</t>
  </si>
  <si>
    <t>Windows</t>
  </si>
  <si>
    <t>Division walls</t>
  </si>
  <si>
    <t>Internal walls</t>
  </si>
  <si>
    <t xml:space="preserve">Extra over for toughened and laminated glazng </t>
  </si>
  <si>
    <t>to ground floor windows</t>
  </si>
  <si>
    <t>Extra over for water resistant board to bathrooms</t>
  </si>
  <si>
    <t>House type</t>
  </si>
  <si>
    <t>Single</t>
  </si>
  <si>
    <t>Pair</t>
  </si>
  <si>
    <t>Sliding</t>
  </si>
  <si>
    <t>Internal face of external walls</t>
  </si>
  <si>
    <t>Internal walls ( Decorations only )</t>
  </si>
  <si>
    <t>Tiling to bathrooms</t>
  </si>
  <si>
    <t>Bathrooms = 5 sq.m</t>
  </si>
  <si>
    <t>Kitchens =    11 sq.m</t>
  </si>
  <si>
    <t>Allowance for floor finishes</t>
  </si>
  <si>
    <t>Screed</t>
  </si>
  <si>
    <t>Insul</t>
  </si>
  <si>
    <t>Finish</t>
  </si>
  <si>
    <t>Skirtings</t>
  </si>
  <si>
    <t>Allowance for plasterboard on battens</t>
  </si>
  <si>
    <t>Kitchen fittings</t>
  </si>
  <si>
    <t>Wardrobes</t>
  </si>
  <si>
    <t>Sundries</t>
  </si>
  <si>
    <t>Sanitary fittings</t>
  </si>
  <si>
    <t>Basins</t>
  </si>
  <si>
    <t>Bath with shower over</t>
  </si>
  <si>
    <t>Paved areas</t>
  </si>
  <si>
    <t>Landscaped areas</t>
  </si>
  <si>
    <t>Allowance for drainage</t>
  </si>
  <si>
    <t>Buildings</t>
  </si>
  <si>
    <t>Externals</t>
  </si>
  <si>
    <t>Allowance for connections</t>
  </si>
  <si>
    <t>Water</t>
  </si>
  <si>
    <t>Electrical</t>
  </si>
  <si>
    <t>Gas</t>
  </si>
  <si>
    <t>BT</t>
  </si>
  <si>
    <t>Roads, paths, walls, landscaped areas etc</t>
  </si>
  <si>
    <t>Allowance for external lighting</t>
  </si>
  <si>
    <t>Refuse areas</t>
  </si>
  <si>
    <t>Roof areas</t>
  </si>
  <si>
    <t>Foundations to lifts</t>
  </si>
  <si>
    <t>Foundations to staircases</t>
  </si>
  <si>
    <t>Hollorib</t>
  </si>
  <si>
    <t>Concrete</t>
  </si>
  <si>
    <t>Reinf</t>
  </si>
  <si>
    <t>Block A</t>
  </si>
  <si>
    <t>Block B</t>
  </si>
  <si>
    <t>Block C</t>
  </si>
  <si>
    <t>M</t>
  </si>
  <si>
    <t>sq.m</t>
  </si>
  <si>
    <t>Balconies</t>
  </si>
  <si>
    <t>Allownce for concrete staircases inc all finishes</t>
  </si>
  <si>
    <t>Ground to 4th</t>
  </si>
  <si>
    <t>Nr</t>
  </si>
  <si>
    <t>Ground to 3rd</t>
  </si>
  <si>
    <t xml:space="preserve">Entrance doors and screen </t>
  </si>
  <si>
    <t>Schedule of windows</t>
  </si>
  <si>
    <t>Single dr</t>
  </si>
  <si>
    <t>Pair doors</t>
  </si>
  <si>
    <t>Extra over for pair doors</t>
  </si>
  <si>
    <t>Lift walls</t>
  </si>
  <si>
    <t>Allowance for entrance mats</t>
  </si>
  <si>
    <t>Nr,</t>
  </si>
  <si>
    <t>45kg/per sq.m</t>
  </si>
  <si>
    <t>area =</t>
  </si>
  <si>
    <t>tonne</t>
  </si>
  <si>
    <t>Allowance for fire protection</t>
  </si>
  <si>
    <t>Laminate  wood to halls and living rooms</t>
  </si>
  <si>
    <t>Carpet to bedrooms</t>
  </si>
  <si>
    <t>Carpets to Staircases</t>
  </si>
  <si>
    <t>Ceramic to bathrooms</t>
  </si>
  <si>
    <t>Kitchen units</t>
  </si>
  <si>
    <t>WC</t>
  </si>
  <si>
    <t>Bath with shower</t>
  </si>
  <si>
    <t>Shower</t>
  </si>
  <si>
    <t>M &amp; E to each flat</t>
  </si>
  <si>
    <t>Lifts</t>
  </si>
  <si>
    <t>1 Bed</t>
  </si>
  <si>
    <t>2 Bed</t>
  </si>
  <si>
    <t xml:space="preserve">White goods to </t>
  </si>
  <si>
    <t>Curtain battens</t>
  </si>
  <si>
    <t xml:space="preserve">Nr. </t>
  </si>
  <si>
    <t>Storage bins( lockable )</t>
  </si>
  <si>
    <t>Post boxes</t>
  </si>
  <si>
    <t>W.C with mirror over</t>
  </si>
  <si>
    <t>Extract vents from bathroms and kitchens</t>
  </si>
  <si>
    <t>Video entry systems</t>
  </si>
  <si>
    <t>IRS system</t>
  </si>
  <si>
    <t>EO for alarm to disabled persons</t>
  </si>
  <si>
    <t>( £3,500.00 per floor )</t>
  </si>
  <si>
    <t>Extra over for sliding doors</t>
  </si>
  <si>
    <t xml:space="preserve">Item </t>
  </si>
  <si>
    <t>Wansey Street</t>
  </si>
  <si>
    <t xml:space="preserve">         Commercial</t>
  </si>
  <si>
    <t xml:space="preserve">WANSEY STREET - Cost Plan </t>
  </si>
  <si>
    <t>September 2004</t>
  </si>
  <si>
    <t>Totals</t>
  </si>
  <si>
    <t>Roof terrances</t>
  </si>
  <si>
    <t>Staircases</t>
  </si>
  <si>
    <t>areas</t>
  </si>
  <si>
    <t xml:space="preserve">         Block A</t>
  </si>
  <si>
    <t xml:space="preserve">        Block B</t>
  </si>
  <si>
    <t xml:space="preserve">           Block C</t>
  </si>
  <si>
    <t xml:space="preserve">         Block D</t>
  </si>
  <si>
    <t>Acess plantforms</t>
  </si>
  <si>
    <t>First floor</t>
  </si>
  <si>
    <t>Second flr</t>
  </si>
  <si>
    <t>Third flr</t>
  </si>
  <si>
    <t>Fourth flr</t>
  </si>
  <si>
    <t>say</t>
  </si>
  <si>
    <t xml:space="preserve">    Basement plant</t>
  </si>
  <si>
    <t>Basement</t>
  </si>
  <si>
    <t>Roofs to staircases</t>
  </si>
  <si>
    <t>Extra over for</t>
  </si>
  <si>
    <t>Typical foundation Measured over  Block C 14.4 x 9.6</t>
  </si>
  <si>
    <t>14.4 x 2</t>
  </si>
  <si>
    <t>9.6 x 3.</t>
  </si>
  <si>
    <t>Allowance for breaking out car park surface</t>
  </si>
  <si>
    <t>Staircase slabs</t>
  </si>
  <si>
    <t>Hardcore base 300mm dep</t>
  </si>
  <si>
    <t>roof membrane</t>
  </si>
  <si>
    <t>skirtings</t>
  </si>
  <si>
    <t>upstands/shirtings</t>
  </si>
  <si>
    <t>Ground to 5th</t>
  </si>
  <si>
    <t>Allowance for internal staircases</t>
  </si>
  <si>
    <t>Basement to ground</t>
  </si>
  <si>
    <t>Commercial</t>
  </si>
  <si>
    <t>Grd to first</t>
  </si>
  <si>
    <t>First to second</t>
  </si>
  <si>
    <t>Second to third</t>
  </si>
  <si>
    <t>Third to fourth</t>
  </si>
  <si>
    <t xml:space="preserve">             Flats including the office areas</t>
  </si>
  <si>
    <t>Allowance for removing fencing</t>
  </si>
  <si>
    <t>Allowance for removing barriers etc</t>
  </si>
  <si>
    <t>Excavate to reduce levels and c.a ( average .63 deep )</t>
  </si>
  <si>
    <t>Retaining wall to front and one elevation</t>
  </si>
  <si>
    <t>Under pinning to one elevation</t>
  </si>
  <si>
    <t>Allowance for forming basement</t>
  </si>
  <si>
    <t>Reinforcement ( two layers of fabric )</t>
  </si>
  <si>
    <t xml:space="preserve">The above area includes the gross internal </t>
  </si>
  <si>
    <t>floor area plus the staircase area.</t>
  </si>
  <si>
    <t>Assumed that the balconies and accessplatforms</t>
  </si>
  <si>
    <t>are add on features</t>
  </si>
  <si>
    <t>N.B</t>
  </si>
  <si>
    <t>Allowance for concrete/steel frame based on</t>
  </si>
  <si>
    <t>Allowance for insitu/precast concrete upper floors</t>
  </si>
  <si>
    <t>Allowance for add on balconies</t>
  </si>
  <si>
    <t>Allowance for add on access platforms</t>
  </si>
  <si>
    <t>Concrete roof slab insulation single membrane</t>
  </si>
  <si>
    <t>paving</t>
  </si>
  <si>
    <t>Roof terrance screens</t>
  </si>
  <si>
    <t>Steps</t>
  </si>
  <si>
    <t>Ramps to slabs</t>
  </si>
  <si>
    <t>Handrails to ramps</t>
  </si>
  <si>
    <t>Handrails to steps</t>
  </si>
  <si>
    <t>Balustrade to main stairs</t>
  </si>
  <si>
    <t>Grd floor</t>
  </si>
  <si>
    <t>Dlock D</t>
  </si>
  <si>
    <t>Less internal area</t>
  </si>
  <si>
    <t>First Floor</t>
  </si>
  <si>
    <t>Second Floor</t>
  </si>
  <si>
    <t>Third floor</t>
  </si>
  <si>
    <t>Fourth Floor</t>
  </si>
  <si>
    <t>Fifth Floor</t>
  </si>
  <si>
    <t xml:space="preserve">Allowance for pc concrete/timber effect external walling </t>
  </si>
  <si>
    <t>width</t>
  </si>
  <si>
    <t>height</t>
  </si>
  <si>
    <t>Entrance gate</t>
  </si>
  <si>
    <t>Second floor</t>
  </si>
  <si>
    <t>Fourth floor</t>
  </si>
  <si>
    <t>Fifth floor</t>
  </si>
  <si>
    <t>Bin doors</t>
  </si>
  <si>
    <t>Entrance doors</t>
  </si>
  <si>
    <t>Bin store doors</t>
  </si>
  <si>
    <t>girth</t>
  </si>
  <si>
    <t>area</t>
  </si>
  <si>
    <t>Fourth to fifth</t>
  </si>
  <si>
    <t>20sq.m per bathroom</t>
  </si>
  <si>
    <t>Cupboard</t>
  </si>
  <si>
    <t>sliding</t>
  </si>
  <si>
    <t>Entrance( inc with external doors )</t>
  </si>
  <si>
    <t>Sliding cupboard doors</t>
  </si>
  <si>
    <t>Allowance for enhanced finishes to private ownership flats</t>
  </si>
  <si>
    <t>Staircase areas</t>
  </si>
  <si>
    <t>Allowance for enhanced finishes to private ownership</t>
  </si>
  <si>
    <t>Type G</t>
  </si>
  <si>
    <t>Areas</t>
  </si>
  <si>
    <t>Nr. Units</t>
  </si>
  <si>
    <t>Type D</t>
  </si>
  <si>
    <t>To flats ( commercial shell only )</t>
  </si>
  <si>
    <t>Type B</t>
  </si>
  <si>
    <t>Type C</t>
  </si>
  <si>
    <t>Type F-Fourth floor</t>
  </si>
  <si>
    <t>Type F-Fifth floor</t>
  </si>
  <si>
    <t>Allowance for finish to underside of staircases</t>
  </si>
  <si>
    <t>Commercial left as shell</t>
  </si>
  <si>
    <t>Grtd floor</t>
  </si>
  <si>
    <t>Sec floor</t>
  </si>
  <si>
    <t>Allowance for enhanced units</t>
  </si>
  <si>
    <t>Extra for disabled persons bathrooms say</t>
  </si>
  <si>
    <t>commercial unit</t>
  </si>
  <si>
    <t>Terraced areas</t>
  </si>
  <si>
    <t>Form steps down from pavement level</t>
  </si>
  <si>
    <t>Balustrades to ditto</t>
  </si>
  <si>
    <t>Railing to back edge of pavement</t>
  </si>
  <si>
    <t>Balustrade to private terrace areas</t>
  </si>
  <si>
    <t>Division screens to ditto</t>
  </si>
  <si>
    <t>Boundary fencing</t>
  </si>
  <si>
    <t>Gates</t>
  </si>
  <si>
    <t>Site area</t>
  </si>
  <si>
    <t>Less</t>
  </si>
  <si>
    <t>Building</t>
  </si>
  <si>
    <t>Terraces</t>
  </si>
  <si>
    <t>Bicycle stand</t>
  </si>
  <si>
    <t>Plants etc</t>
  </si>
  <si>
    <t>Retaining wall to rear of site</t>
  </si>
  <si>
    <t>small</t>
  </si>
  <si>
    <t>Large</t>
  </si>
  <si>
    <t>Cycle racks</t>
  </si>
  <si>
    <t>Summary of areas</t>
  </si>
  <si>
    <t>flats</t>
  </si>
  <si>
    <t>staircases</t>
  </si>
  <si>
    <t>balcony</t>
  </si>
  <si>
    <t>access platforms</t>
  </si>
  <si>
    <t>grd</t>
  </si>
  <si>
    <t>Allowance for breaking out obstructions</t>
  </si>
  <si>
    <t>Block D</t>
  </si>
  <si>
    <t>flat g</t>
  </si>
  <si>
    <t>=32 x20</t>
  </si>
  <si>
    <t>Type G-grd</t>
  </si>
  <si>
    <t>Type G-second</t>
  </si>
  <si>
    <t xml:space="preserve">Type G-third </t>
  </si>
  <si>
    <t>Type G-first</t>
  </si>
  <si>
    <t>Type G-fourth</t>
  </si>
  <si>
    <t>TypeG-fourth</t>
  </si>
  <si>
    <t>say 8 nr. X 7sq.m</t>
  </si>
  <si>
    <t>Finish to underside of overhang</t>
  </si>
  <si>
    <t>inc balconies</t>
  </si>
  <si>
    <t>3 Bed</t>
  </si>
  <si>
    <t>Allowance for piled foundation, ground beams,ground floor slab</t>
  </si>
  <si>
    <t>SUB-TOTAL ( 1Q05 )</t>
  </si>
  <si>
    <t>Cost / gross</t>
  </si>
  <si>
    <t xml:space="preserve"> int floor area.</t>
  </si>
  <si>
    <t>int floor area.</t>
  </si>
  <si>
    <t>Allowance for craneage</t>
  </si>
  <si>
    <t>item</t>
  </si>
  <si>
    <t>inc in general area</t>
  </si>
  <si>
    <t>Piles ( 2nr per pile cap 1nr for intermediate )</t>
  </si>
  <si>
    <t>e.o for lense lights to staircase areas(excluded)</t>
  </si>
  <si>
    <t>e.o for lense lights ( excluded )</t>
  </si>
  <si>
    <t>Extra over for terraced areas</t>
  </si>
  <si>
    <t>parapets( exc terrace screens)</t>
  </si>
  <si>
    <t>Allowance for  solar shading</t>
  </si>
  <si>
    <t>Bathrooms and kitchens ( excluded )</t>
  </si>
  <si>
    <t>say screed and vinyl</t>
  </si>
  <si>
    <t>Private ownership ( excluded )</t>
  </si>
  <si>
    <t>To others ( excluded )</t>
  </si>
  <si>
    <t>( at £ 300.00 per sq.m )</t>
  </si>
  <si>
    <t>Fees allowance including design</t>
  </si>
  <si>
    <t>PRELIMINARIES</t>
  </si>
  <si>
    <t>Estimated Final Account</t>
  </si>
  <si>
    <t>WANSEY STREET Tenure Split</t>
  </si>
  <si>
    <t>Sept 04</t>
  </si>
  <si>
    <t>level</t>
  </si>
  <si>
    <t>unit no.</t>
  </si>
  <si>
    <t>apt. block</t>
  </si>
  <si>
    <t xml:space="preserve"> apt. no.</t>
  </si>
  <si>
    <t>unit type</t>
  </si>
  <si>
    <t>type</t>
  </si>
  <si>
    <t>tenure</t>
  </si>
  <si>
    <t>net area (*)</t>
  </si>
  <si>
    <t xml:space="preserve">    no. habitable rooms</t>
  </si>
  <si>
    <t>Cost per unit</t>
  </si>
  <si>
    <t>Type</t>
  </si>
  <si>
    <t>Rent</t>
  </si>
  <si>
    <t>S/O</t>
  </si>
  <si>
    <t>Open Market</t>
  </si>
  <si>
    <t>GARDEN</t>
  </si>
  <si>
    <t>1 (shop)</t>
  </si>
  <si>
    <t>D</t>
  </si>
  <si>
    <t>n/a</t>
  </si>
  <si>
    <t>commercial</t>
  </si>
  <si>
    <t>H</t>
  </si>
  <si>
    <t>3 bed maisonnette</t>
  </si>
  <si>
    <t>rent</t>
  </si>
  <si>
    <t>C</t>
  </si>
  <si>
    <t>2 bed flat</t>
  </si>
  <si>
    <t>D'</t>
  </si>
  <si>
    <t>B</t>
  </si>
  <si>
    <t>A'</t>
  </si>
  <si>
    <t>A</t>
  </si>
  <si>
    <t>FIRST</t>
  </si>
  <si>
    <t>B'</t>
  </si>
  <si>
    <t>1 bed flat</t>
  </si>
  <si>
    <t>SECOND</t>
  </si>
  <si>
    <t>E</t>
  </si>
  <si>
    <t>G</t>
  </si>
  <si>
    <t>Private</t>
  </si>
  <si>
    <t>D+</t>
  </si>
  <si>
    <t>THIRD</t>
  </si>
  <si>
    <t>FOURTH</t>
  </si>
  <si>
    <t>F</t>
  </si>
  <si>
    <t>2 bed maisonnette</t>
  </si>
  <si>
    <t>C'</t>
  </si>
  <si>
    <t>ROOF</t>
  </si>
  <si>
    <t>2 bed maisonette</t>
  </si>
  <si>
    <t>TOTAL</t>
  </si>
  <si>
    <t>Additions</t>
  </si>
  <si>
    <t>No. of units</t>
  </si>
  <si>
    <t>RESIDENTIAL (All tenure types)</t>
  </si>
  <si>
    <t>Contract Sum</t>
  </si>
  <si>
    <t>Works to Commercial included witihinj Contract</t>
  </si>
  <si>
    <t>Contract Sum for Residential</t>
  </si>
  <si>
    <t>COMMERCIAL</t>
  </si>
  <si>
    <t>Addition Sum Commercial (additional contingency sum to be instructed by SHG)</t>
  </si>
  <si>
    <t>Revised Commercial Sum</t>
  </si>
  <si>
    <t>General Variations</t>
  </si>
  <si>
    <t>Variations to Rented</t>
  </si>
  <si>
    <t>Variations to S/O</t>
  </si>
  <si>
    <t>Variations to Open Market Sale</t>
  </si>
  <si>
    <t>Original Residential</t>
  </si>
  <si>
    <t>Included</t>
  </si>
  <si>
    <t>Original Commercial</t>
  </si>
  <si>
    <t>Base without Rented Residential</t>
  </si>
  <si>
    <t>Revised Residential</t>
  </si>
  <si>
    <t>Revised Commercial</t>
  </si>
  <si>
    <t>internal floor area</t>
  </si>
  <si>
    <t>balconies + access</t>
  </si>
  <si>
    <t>basement plant</t>
  </si>
  <si>
    <t>Roof terraces</t>
  </si>
  <si>
    <t>Cost per m2</t>
  </si>
  <si>
    <t>Substructure</t>
  </si>
  <si>
    <t>Frame</t>
  </si>
  <si>
    <t>Upper Floors</t>
  </si>
  <si>
    <t>Roof</t>
  </si>
  <si>
    <t>Internal Walls</t>
  </si>
  <si>
    <t>Internal Doors</t>
  </si>
  <si>
    <t>Wall Finishes</t>
  </si>
  <si>
    <t>Floor finishes</t>
  </si>
  <si>
    <t>Ceiling Finishes</t>
  </si>
  <si>
    <t>Fittings and Fixings</t>
  </si>
  <si>
    <t>Sanitary Fittings</t>
  </si>
  <si>
    <t>Disposal Installations</t>
  </si>
  <si>
    <t>Water Installations</t>
  </si>
  <si>
    <t>Space Heating and Air Treatment</t>
  </si>
  <si>
    <t>Ventillation Installations</t>
  </si>
  <si>
    <t>Electrical Installations</t>
  </si>
  <si>
    <t>Gas Installation</t>
  </si>
  <si>
    <t>Builder's Works in Connection With Services</t>
  </si>
  <si>
    <t>External Works</t>
  </si>
  <si>
    <t>Drainage</t>
  </si>
  <si>
    <t>External Services</t>
  </si>
  <si>
    <t>Preliminaries</t>
  </si>
  <si>
    <t>Design and Survey Fees</t>
  </si>
  <si>
    <t>Structural Engineer</t>
  </si>
  <si>
    <t>Acoustic Consultant</t>
  </si>
  <si>
    <t>Abnormal Surveys</t>
  </si>
  <si>
    <t>NHBC Fees</t>
  </si>
  <si>
    <t>Services Engineer</t>
  </si>
  <si>
    <t>General Preliminaries</t>
  </si>
  <si>
    <t>Craneage</t>
  </si>
  <si>
    <t>Overhead and Proft</t>
  </si>
  <si>
    <t>Overhead and Profit @ 8% of total costs</t>
  </si>
  <si>
    <t>External lighting</t>
  </si>
  <si>
    <t>Removal of Japanese Knotweed</t>
  </si>
  <si>
    <t>Working round services</t>
  </si>
  <si>
    <t>Ground Contamination</t>
  </si>
  <si>
    <t>Obstructions in ground</t>
  </si>
  <si>
    <t>Stairs</t>
  </si>
  <si>
    <t>Lift Installation</t>
  </si>
  <si>
    <t>Communication Installation</t>
  </si>
  <si>
    <t>Underpinning due to removal of knotweed</t>
  </si>
  <si>
    <t>Carpet to bedrooms and Staircases</t>
  </si>
  <si>
    <t>External Walls, Windows and External Doors</t>
  </si>
  <si>
    <t>White Goods (to private sale / Shared ownership) units</t>
  </si>
  <si>
    <t>Cupboard doors</t>
  </si>
  <si>
    <t>Concrete staircases including all finishes (13 flights)</t>
  </si>
  <si>
    <t>Internal staircases</t>
  </si>
  <si>
    <t>Staircases to commercial area</t>
  </si>
  <si>
    <t>m</t>
  </si>
  <si>
    <t>Allowance for concrete/steel frame based on 45kg/sqm</t>
  </si>
  <si>
    <t>Allowance for insitu/precast concrete upper floors with Holorib and reinforcement</t>
  </si>
  <si>
    <t>Skirtings to roof finishes</t>
  </si>
  <si>
    <t>Work to roof parapets</t>
  </si>
  <si>
    <t>Roofs over staircases</t>
  </si>
  <si>
    <t>Upstands and skirtings</t>
  </si>
  <si>
    <t>Paving to terraced areas</t>
  </si>
  <si>
    <t>Mansafe system</t>
  </si>
  <si>
    <t xml:space="preserve">Entrance doors with screen </t>
  </si>
  <si>
    <t>Sliding Doors</t>
  </si>
  <si>
    <t>Extra over for toughened and laminated glazng to ground floor windows</t>
  </si>
  <si>
    <t>Allowance for solar shading</t>
  </si>
  <si>
    <t>Entrance( inc within external doors )</t>
  </si>
  <si>
    <t>nr</t>
  </si>
  <si>
    <t>Floor finish to include screed, insulation, and vinyl</t>
  </si>
  <si>
    <t>Screed and vinyl to staircase areas</t>
  </si>
  <si>
    <t>Large Refuse areas</t>
  </si>
  <si>
    <t>Small Refuse areas</t>
  </si>
  <si>
    <t>Water connection</t>
  </si>
  <si>
    <t>Electrical connection</t>
  </si>
  <si>
    <t>Gas connection</t>
  </si>
  <si>
    <t>BT connection</t>
  </si>
  <si>
    <t>Costs detailed within external services section</t>
  </si>
  <si>
    <t>Waste, soil and vent installation, PVCu pipework and fittings</t>
  </si>
  <si>
    <t>Cold and hot water system</t>
  </si>
  <si>
    <t>Allowance for larger units</t>
  </si>
  <si>
    <t>Allowance for precast concrete/timber effect external walling system</t>
  </si>
  <si>
    <t>Concrete roof slab, insulation and single membrane</t>
  </si>
  <si>
    <t>Total Complete Construction Costs</t>
  </si>
  <si>
    <t>Architect (Post Stage D)</t>
  </si>
  <si>
    <t>m³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</si>
</sst>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d\-mmm\-yy"/>
    <numFmt numFmtId="166" formatCode="_-* #,##0.000_-;\-* #,##0.000_-;_-* &quot;-&quot;???_-;_-@_-"/>
    <numFmt numFmtId="167" formatCode="#,##0_ ;\-#,##0\ "/>
    <numFmt numFmtId="168" formatCode="0.0%"/>
    <numFmt numFmtId="169" formatCode="_-* #,##0.0_-;\-* #,##0.0_-;_-* &quot;-&quot;?_-;_-@_-"/>
    <numFmt numFmtId="170" formatCode="#,##0.00_ ;[Red]\-#,##0.00\ "/>
    <numFmt numFmtId="171" formatCode="#,##0_ ;[Red]\-#,##0\ "/>
    <numFmt numFmtId="172" formatCode="0.00_ ;[Red]\-0.00\ "/>
    <numFmt numFmtId="173" formatCode="0_ ;[Red]\-0\ "/>
    <numFmt numFmtId="174" formatCode="mm/dd/yy"/>
    <numFmt numFmtId="175" formatCode="#,##0.00_ ;\-#,##0.00\ "/>
    <numFmt numFmtId="176" formatCode="mmmm\-yy"/>
    <numFmt numFmtId="177" formatCode="#,##0.0"/>
    <numFmt numFmtId="178" formatCode="#,##0.000"/>
    <numFmt numFmtId="179" formatCode="dd\-mmm\-yy_)"/>
    <numFmt numFmtId="180" formatCode="_-* #,##0_-;\-* #,##0_-;_-* &quot;-&quot;??_-;_-@_-"/>
    <numFmt numFmtId="181" formatCode="&quot;£&quot;#,##0"/>
    <numFmt numFmtId="182" formatCode="&quot;£&quot;#,##0_);\(&quot;£&quot;#,##0\)"/>
    <numFmt numFmtId="183" formatCode="&quot;£&quot;#,##0.00_);\(&quot;£&quot;#,##0.00\)"/>
    <numFmt numFmtId="184" formatCode="#,##0.00;\ ;"/>
    <numFmt numFmtId="185" formatCode="_-* #,##0.0_-;\-* #,##0.0_-;_-* &quot;-&quot;??_-;_-@_-"/>
    <numFmt numFmtId="186" formatCode="#,##0.00;;"/>
    <numFmt numFmtId="187" formatCode="_-* #,##0.000_-;\-* #,##0.000_-;_-* &quot;-&quot;??_-;_-@_-"/>
    <numFmt numFmtId="188" formatCode="_-* #,##0.0000_-;\-* #,##0.0000_-;_-* &quot;-&quot;??_-;_-@_-"/>
    <numFmt numFmtId="189" formatCode="dd/mmmm/yyyy"/>
    <numFmt numFmtId="190" formatCode="&quot;£&quot;#,##0.00;;"/>
    <numFmt numFmtId="191" formatCode="&quot;£&quot;#,##0_);[Red]\(&quot;£&quot;#,##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* #,##0_);_(* \(#,##0\);_(* &quot;-&quot;_);_(@_)"/>
    <numFmt numFmtId="195" formatCode="_(&quot;£&quot;* #,##0.00_);_(&quot;£&quot;* \(#,##0.00\);_(&quot;£&quot;* &quot;-&quot;??_);_(@_)"/>
    <numFmt numFmtId="196" formatCode="_(* #,##0.00_);_(* \(#,##0.00\);_(* &quot;-&quot;??_);_(@_)"/>
    <numFmt numFmtId="197" formatCode="_-&quot;£&quot;* #,##0.000_-;\-&quot;£&quot;* #,##0.000_-;_-&quot;£&quot;* &quot;-&quot;??_-;_-@_-"/>
    <numFmt numFmtId="198" formatCode="_-&quot;£&quot;* #,##0.0000_-;\-&quot;£&quot;* #,##0.0000_-;_-&quot;£&quot;* &quot;-&quot;??_-;_-@_-"/>
    <numFmt numFmtId="199" formatCode="_-&quot;£&quot;* #,##0.0_-;\-&quot;£&quot;* #,##0.0_-;_-&quot;£&quot;* &quot;-&quot;??_-;_-@_-"/>
    <numFmt numFmtId="200" formatCode="_-&quot;£&quot;* #,##0_-;\-&quot;£&quot;* #,##0_-;_-&quot;£&quot;* &quot;-&quot;??_-;_-@_-"/>
    <numFmt numFmtId="201" formatCode="0.0"/>
    <numFmt numFmtId="202" formatCode="_-&quot;£&quot;* #,##0.00000_-;\-&quot;£&quot;* #,##0.00000_-;_-&quot;£&quot;* &quot;-&quot;??_-;_-@_-"/>
    <numFmt numFmtId="203" formatCode="0.000"/>
    <numFmt numFmtId="204" formatCode="0.0000"/>
    <numFmt numFmtId="205" formatCode="&quot;£&quot;#,##0.00"/>
    <numFmt numFmtId="206" formatCode="dd\-mmmm\-yy"/>
    <numFmt numFmtId="207" formatCode="dd\-mmmm\-\ yy"/>
    <numFmt numFmtId="208" formatCode="dd\-mmmm\-\ yyyy"/>
    <numFmt numFmtId="209" formatCode="dd\-mmmm\-yyyy"/>
    <numFmt numFmtId="210" formatCode="&quot;£&quot;#,##0.00;[Red]&quot;£&quot;#,##0.00"/>
    <numFmt numFmtId="211" formatCode="[Red]&quot;£&quot;#,##0.00;\-&quot;£&quot;#,##0.00"/>
    <numFmt numFmtId="212" formatCode="[Red]0.00%;\-0.00%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.00%;;"/>
    <numFmt numFmtId="217" formatCode="&quot;£ &quot;#,##0;\-&quot;£ &quot;#,##0"/>
    <numFmt numFmtId="218" formatCode="&quot;£ &quot;#,##0;[Red]\-&quot;£ &quot;#,##0"/>
    <numFmt numFmtId="219" formatCode="&quot;£ &quot;#,##0.00;\-&quot;£ &quot;#,##0.00"/>
    <numFmt numFmtId="220" formatCode="&quot;£ &quot;#,##0.00;[Red]\-&quot;£ &quot;#,##0.00"/>
    <numFmt numFmtId="221" formatCode="_-&quot;£ &quot;* #,##0_-;\-&quot;£ &quot;* #,##0_-;_-&quot;£ &quot;* &quot;-&quot;_-;_-@_-"/>
    <numFmt numFmtId="222" formatCode="_-&quot;£ &quot;* #,##0.00_-;\-&quot;£ &quot;* #,##0.00_-;_-&quot;£ &quot;* &quot;-&quot;??_-;_-@_-"/>
    <numFmt numFmtId="223" formatCode="d/m/yyyy"/>
    <numFmt numFmtId="224" formatCode="000\-00\-0000"/>
    <numFmt numFmtId="225" formatCode="#,##0.0000"/>
  </numFmts>
  <fonts count="3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u val="singleAccounting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8"/>
      <name val="Arial"/>
      <family val="2"/>
    </font>
    <font>
      <b/>
      <u val="singleAccounting"/>
      <sz val="10"/>
      <name val="Arial"/>
      <family val="2"/>
    </font>
    <font>
      <sz val="10"/>
      <name val="Verdana"/>
      <family val="0"/>
    </font>
    <font>
      <sz val="14"/>
      <color indexed="8"/>
      <name val="Eurostile"/>
      <family val="0"/>
    </font>
    <font>
      <b/>
      <sz val="12"/>
      <name val="Eurostile"/>
      <family val="0"/>
    </font>
    <font>
      <b/>
      <sz val="10"/>
      <name val="Verdana"/>
      <family val="2"/>
    </font>
    <font>
      <b/>
      <sz val="12"/>
      <color indexed="8"/>
      <name val="Eurostile"/>
      <family val="0"/>
    </font>
    <font>
      <sz val="12"/>
      <color indexed="8"/>
      <name val="Eurostile"/>
      <family val="0"/>
    </font>
    <font>
      <sz val="12"/>
      <name val="Eurostile"/>
      <family val="0"/>
    </font>
    <font>
      <b/>
      <sz val="10"/>
      <name val="Eurostile"/>
      <family val="0"/>
    </font>
    <font>
      <sz val="10"/>
      <name val="Eurostile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2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9" fontId="3" fillId="0" borderId="0" xfId="24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43" fontId="0" fillId="0" borderId="1" xfId="0" applyNumberFormat="1" applyBorder="1" applyAlignment="1" applyProtection="1">
      <alignment/>
      <protection/>
    </xf>
    <xf numFmtId="41" fontId="0" fillId="0" borderId="2" xfId="0" applyNumberFormat="1" applyBorder="1" applyAlignment="1" applyProtection="1">
      <alignment/>
      <protection/>
    </xf>
    <xf numFmtId="41" fontId="0" fillId="0" borderId="6" xfId="0" applyNumberFormat="1" applyBorder="1" applyAlignment="1" applyProtection="1">
      <alignment/>
      <protection/>
    </xf>
    <xf numFmtId="41" fontId="0" fillId="0" borderId="3" xfId="0" applyNumberForma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41" fontId="0" fillId="0" borderId="7" xfId="0" applyNumberForma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1" fontId="0" fillId="0" borderId="8" xfId="0" applyNumberFormat="1" applyBorder="1" applyAlignment="1" applyProtection="1">
      <alignment/>
      <protection/>
    </xf>
    <xf numFmtId="43" fontId="0" fillId="0" borderId="8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3" fontId="0" fillId="0" borderId="1" xfId="0" applyNumberFormat="1" applyFont="1" applyBorder="1" applyAlignment="1" applyProtection="1">
      <alignment/>
      <protection/>
    </xf>
    <xf numFmtId="41" fontId="0" fillId="0" borderId="2" xfId="0" applyNumberFormat="1" applyFont="1" applyBorder="1" applyAlignment="1" applyProtection="1">
      <alignment/>
      <protection/>
    </xf>
    <xf numFmtId="41" fontId="0" fillId="0" borderId="3" xfId="0" applyNumberFormat="1" applyFont="1" applyBorder="1" applyAlignment="1" applyProtection="1">
      <alignment/>
      <protection/>
    </xf>
    <xf numFmtId="41" fontId="0" fillId="0" borderId="8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3" xfId="0" applyFill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3" fontId="0" fillId="0" borderId="8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 applyProtection="1" quotePrefix="1">
      <alignment/>
      <protection locked="0"/>
    </xf>
    <xf numFmtId="3" fontId="0" fillId="0" borderId="0" xfId="0" applyNumberFormat="1" applyAlignment="1">
      <alignment/>
    </xf>
    <xf numFmtId="0" fontId="1" fillId="2" borderId="10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9" fontId="0" fillId="0" borderId="0" xfId="24" applyBorder="1" applyAlignment="1" applyProtection="1">
      <alignment/>
      <protection locked="0"/>
    </xf>
    <xf numFmtId="43" fontId="0" fillId="0" borderId="5" xfId="0" applyNumberForma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43" fontId="0" fillId="0" borderId="0" xfId="0" applyNumberFormat="1" applyAlignment="1">
      <alignment/>
    </xf>
    <xf numFmtId="0" fontId="9" fillId="0" borderId="0" xfId="0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6" fontId="0" fillId="0" borderId="0" xfId="0" applyNumberFormat="1" applyFont="1" applyBorder="1" applyAlignment="1" applyProtection="1">
      <alignment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6" fontId="0" fillId="0" borderId="0" xfId="0" applyNumberFormat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20" xfId="0" applyFont="1" applyBorder="1" applyAlignment="1">
      <alignment/>
    </xf>
    <xf numFmtId="180" fontId="16" fillId="0" borderId="0" xfId="15" applyNumberFormat="1" applyFont="1" applyBorder="1" applyAlignment="1" applyProtection="1">
      <alignment horizontal="center"/>
      <protection/>
    </xf>
    <xf numFmtId="0" fontId="19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21" xfId="0" applyFont="1" applyBorder="1" applyAlignment="1">
      <alignment/>
    </xf>
    <xf numFmtId="180" fontId="16" fillId="0" borderId="22" xfId="15" applyNumberFormat="1" applyFont="1" applyBorder="1" applyAlignment="1" applyProtection="1">
      <alignment horizontal="center"/>
      <protection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2" fillId="0" borderId="17" xfId="0" applyFont="1" applyBorder="1" applyAlignment="1">
      <alignment horizontal="centerContinuous" vertical="center"/>
    </xf>
    <xf numFmtId="0" fontId="11" fillId="0" borderId="23" xfId="0" applyFont="1" applyBorder="1" applyAlignment="1">
      <alignment/>
    </xf>
    <xf numFmtId="0" fontId="12" fillId="0" borderId="24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39" fontId="11" fillId="0" borderId="0" xfId="0" applyNumberFormat="1" applyFont="1" applyBorder="1" applyAlignment="1" applyProtection="1">
      <alignment horizontal="center"/>
      <protection/>
    </xf>
    <xf numFmtId="39" fontId="11" fillId="0" borderId="0" xfId="0" applyNumberFormat="1" applyFont="1" applyBorder="1" applyAlignment="1" applyProtection="1">
      <alignment/>
      <protection/>
    </xf>
    <xf numFmtId="39" fontId="11" fillId="0" borderId="17" xfId="0" applyNumberFormat="1" applyFont="1" applyBorder="1" applyAlignment="1" applyProtection="1">
      <alignment horizontal="center"/>
      <protection/>
    </xf>
    <xf numFmtId="39" fontId="11" fillId="0" borderId="17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 horizontal="left"/>
    </xf>
    <xf numFmtId="181" fontId="11" fillId="0" borderId="0" xfId="22" applyNumberFormat="1" applyFont="1" applyBorder="1" applyAlignment="1">
      <alignment horizontal="center"/>
      <protection/>
    </xf>
    <xf numFmtId="0" fontId="17" fillId="0" borderId="0" xfId="0" applyFont="1" applyBorder="1" applyAlignment="1">
      <alignment/>
    </xf>
    <xf numFmtId="182" fontId="12" fillId="3" borderId="0" xfId="0" applyNumberFormat="1" applyFont="1" applyFill="1" applyBorder="1" applyAlignment="1" applyProtection="1">
      <alignment horizont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2" fillId="3" borderId="0" xfId="0" applyNumberFormat="1" applyFont="1" applyFill="1" applyBorder="1" applyAlignment="1" applyProtection="1">
      <alignment horizontal="center"/>
      <protection/>
    </xf>
    <xf numFmtId="183" fontId="12" fillId="4" borderId="17" xfId="0" applyNumberFormat="1" applyFont="1" applyFill="1" applyBorder="1" applyAlignment="1" applyProtection="1">
      <alignment horizontal="center"/>
      <protection/>
    </xf>
    <xf numFmtId="183" fontId="12" fillId="0" borderId="17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2" fontId="12" fillId="0" borderId="0" xfId="0" applyNumberFormat="1" applyFont="1" applyBorder="1" applyAlignment="1" applyProtection="1">
      <alignment horizontal="center"/>
      <protection/>
    </xf>
    <xf numFmtId="183" fontId="12" fillId="0" borderId="0" xfId="0" applyNumberFormat="1" applyFont="1" applyBorder="1" applyAlignment="1" applyProtection="1">
      <alignment horizontal="center"/>
      <protection/>
    </xf>
    <xf numFmtId="183" fontId="12" fillId="0" borderId="17" xfId="0" applyNumberFormat="1" applyFont="1" applyBorder="1" applyAlignment="1" applyProtection="1">
      <alignment horizontal="center"/>
      <protection/>
    </xf>
    <xf numFmtId="182" fontId="12" fillId="0" borderId="26" xfId="0" applyNumberFormat="1" applyFont="1" applyBorder="1" applyAlignment="1" applyProtection="1">
      <alignment horizontal="center"/>
      <protection/>
    </xf>
    <xf numFmtId="183" fontId="12" fillId="0" borderId="3" xfId="0" applyNumberFormat="1" applyFont="1" applyBorder="1" applyAlignment="1" applyProtection="1">
      <alignment horizontal="center"/>
      <protection/>
    </xf>
    <xf numFmtId="183" fontId="12" fillId="0" borderId="27" xfId="0" applyNumberFormat="1" applyFont="1" applyBorder="1" applyAlignment="1" applyProtection="1">
      <alignment horizontal="center"/>
      <protection/>
    </xf>
    <xf numFmtId="9" fontId="11" fillId="0" borderId="0" xfId="0" applyNumberFormat="1" applyFont="1" applyBorder="1" applyAlignment="1">
      <alignment/>
    </xf>
    <xf numFmtId="9" fontId="11" fillId="0" borderId="23" xfId="0" applyNumberFormat="1" applyFont="1" applyBorder="1" applyAlignment="1">
      <alignment/>
    </xf>
    <xf numFmtId="39" fontId="12" fillId="0" borderId="0" xfId="0" applyNumberFormat="1" applyFont="1" applyBorder="1" applyAlignment="1" applyProtection="1">
      <alignment horizontal="center"/>
      <protection/>
    </xf>
    <xf numFmtId="39" fontId="12" fillId="0" borderId="17" xfId="0" applyNumberFormat="1" applyFont="1" applyBorder="1" applyAlignment="1" applyProtection="1">
      <alignment horizontal="center"/>
      <protection/>
    </xf>
    <xf numFmtId="10" fontId="11" fillId="0" borderId="0" xfId="0" applyNumberFormat="1" applyFont="1" applyBorder="1" applyAlignment="1">
      <alignment/>
    </xf>
    <xf numFmtId="39" fontId="12" fillId="0" borderId="28" xfId="0" applyNumberFormat="1" applyFont="1" applyBorder="1" applyAlignment="1" applyProtection="1">
      <alignment horizontal="center"/>
      <protection/>
    </xf>
    <xf numFmtId="39" fontId="12" fillId="0" borderId="29" xfId="0" applyNumberFormat="1" applyFont="1" applyBorder="1" applyAlignment="1" applyProtection="1">
      <alignment horizontal="center"/>
      <protection/>
    </xf>
    <xf numFmtId="182" fontId="12" fillId="0" borderId="28" xfId="0" applyNumberFormat="1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82" fontId="11" fillId="0" borderId="31" xfId="0" applyNumberFormat="1" applyFont="1" applyBorder="1" applyAlignment="1">
      <alignment/>
    </xf>
    <xf numFmtId="0" fontId="11" fillId="0" borderId="32" xfId="0" applyFont="1" applyBorder="1" applyAlignment="1">
      <alignment/>
    </xf>
    <xf numFmtId="179" fontId="18" fillId="0" borderId="0" xfId="0" applyNumberFormat="1" applyFont="1" applyBorder="1" applyAlignment="1" applyProtection="1" quotePrefix="1">
      <alignment horizontal="left"/>
      <protection/>
    </xf>
    <xf numFmtId="43" fontId="0" fillId="0" borderId="10" xfId="0" applyNumberFormat="1" applyBorder="1" applyAlignment="1">
      <alignment/>
    </xf>
    <xf numFmtId="43" fontId="0" fillId="0" borderId="9" xfId="0" applyNumberFormat="1" applyBorder="1" applyAlignment="1" applyProtection="1">
      <alignment/>
      <protection/>
    </xf>
    <xf numFmtId="43" fontId="0" fillId="0" borderId="3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9" fillId="0" borderId="0" xfId="0" applyFont="1" applyAlignment="1">
      <alignment/>
    </xf>
    <xf numFmtId="41" fontId="0" fillId="0" borderId="0" xfId="0" applyNumberFormat="1" applyBorder="1" applyAlignment="1" applyProtection="1">
      <alignment/>
      <protection/>
    </xf>
    <xf numFmtId="43" fontId="0" fillId="0" borderId="0" xfId="0" applyNumberFormat="1" applyBorder="1" applyAlignment="1" applyProtection="1" quotePrefix="1">
      <alignment/>
      <protection locked="0"/>
    </xf>
    <xf numFmtId="43" fontId="0" fillId="0" borderId="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41" fontId="0" fillId="0" borderId="0" xfId="0" applyNumberFormat="1" applyBorder="1" applyAlignment="1" applyProtection="1">
      <alignment vertical="top"/>
      <protection locked="0"/>
    </xf>
    <xf numFmtId="43" fontId="0" fillId="0" borderId="0" xfId="0" applyNumberFormat="1" applyBorder="1" applyAlignment="1" applyProtection="1">
      <alignment vertical="top"/>
      <protection locked="0"/>
    </xf>
    <xf numFmtId="43" fontId="0" fillId="0" borderId="1" xfId="0" applyNumberFormat="1" applyBorder="1" applyAlignment="1" applyProtection="1">
      <alignment vertical="top"/>
      <protection/>
    </xf>
    <xf numFmtId="182" fontId="12" fillId="0" borderId="0" xfId="0" applyNumberFormat="1" applyFont="1" applyBorder="1" applyAlignment="1" applyProtection="1" quotePrefix="1">
      <alignment horizontal="center"/>
      <protection/>
    </xf>
    <xf numFmtId="5" fontId="12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 quotePrefix="1">
      <alignment/>
      <protection locked="0"/>
    </xf>
    <xf numFmtId="43" fontId="0" fillId="0" borderId="0" xfId="0" applyNumberFormat="1" applyBorder="1" applyAlignment="1" applyProtection="1">
      <alignment/>
      <protection/>
    </xf>
    <xf numFmtId="41" fontId="0" fillId="0" borderId="1" xfId="0" applyNumberFormat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 horizontal="center"/>
      <protection/>
    </xf>
    <xf numFmtId="182" fontId="11" fillId="0" borderId="0" xfId="0" applyNumberFormat="1" applyFont="1" applyFill="1" applyBorder="1" applyAlignment="1" applyProtection="1">
      <alignment horizontal="center"/>
      <protection/>
    </xf>
    <xf numFmtId="181" fontId="11" fillId="0" borderId="0" xfId="22" applyNumberFormat="1" applyFont="1" applyFill="1" applyBorder="1" applyAlignment="1">
      <alignment horizontal="center"/>
      <protection/>
    </xf>
    <xf numFmtId="5" fontId="12" fillId="0" borderId="0" xfId="0" applyNumberFormat="1" applyFont="1" applyFill="1" applyBorder="1" applyAlignment="1" applyProtection="1">
      <alignment horizontal="center"/>
      <protection/>
    </xf>
    <xf numFmtId="182" fontId="12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41" fontId="0" fillId="0" borderId="10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left"/>
    </xf>
    <xf numFmtId="41" fontId="0" fillId="0" borderId="0" xfId="0" applyNumberFormat="1" applyFill="1" applyBorder="1" applyAlignment="1" applyProtection="1">
      <alignment/>
      <protection locked="0"/>
    </xf>
    <xf numFmtId="43" fontId="0" fillId="0" borderId="0" xfId="0" applyNumberFormat="1" applyFill="1" applyBorder="1" applyAlignment="1" applyProtection="1">
      <alignment/>
      <protection locked="0"/>
    </xf>
    <xf numFmtId="41" fontId="0" fillId="0" borderId="0" xfId="0" applyNumberFormat="1" applyFill="1" applyBorder="1" applyAlignment="1" applyProtection="1">
      <alignment/>
      <protection/>
    </xf>
    <xf numFmtId="0" fontId="20" fillId="0" borderId="1" xfId="0" applyFont="1" applyFill="1" applyBorder="1" applyAlignment="1" applyProtection="1">
      <alignment horizontal="center"/>
      <protection locked="0"/>
    </xf>
    <xf numFmtId="41" fontId="0" fillId="0" borderId="1" xfId="0" applyNumberFormat="1" applyBorder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41" fontId="0" fillId="0" borderId="9" xfId="0" applyNumberFormat="1" applyFont="1" applyBorder="1" applyAlignment="1" applyProtection="1">
      <alignment/>
      <protection/>
    </xf>
    <xf numFmtId="43" fontId="0" fillId="0" borderId="2" xfId="0" applyNumberFormat="1" applyFont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 locked="0"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9" xfId="0" applyNumberFormat="1" applyBorder="1" applyAlignment="1" applyProtection="1">
      <alignment/>
      <protection/>
    </xf>
    <xf numFmtId="0" fontId="6" fillId="0" borderId="0" xfId="0" applyFont="1" applyBorder="1" applyAlignment="1">
      <alignment/>
    </xf>
    <xf numFmtId="41" fontId="0" fillId="0" borderId="37" xfId="0" applyNumberFormat="1" applyFont="1" applyBorder="1" applyAlignment="1" applyProtection="1">
      <alignment/>
      <protection/>
    </xf>
    <xf numFmtId="41" fontId="0" fillId="0" borderId="38" xfId="0" applyNumberFormat="1" applyBorder="1" applyAlignment="1" applyProtection="1">
      <alignment/>
      <protection/>
    </xf>
    <xf numFmtId="41" fontId="0" fillId="0" borderId="0" xfId="0" applyNumberFormat="1" applyBorder="1" applyAlignment="1" applyProtection="1">
      <alignment vertical="top"/>
      <protection/>
    </xf>
    <xf numFmtId="41" fontId="0" fillId="0" borderId="11" xfId="0" applyNumberFormat="1" applyBorder="1" applyAlignment="1" applyProtection="1">
      <alignment/>
      <protection/>
    </xf>
    <xf numFmtId="41" fontId="0" fillId="0" borderId="37" xfId="0" applyNumberFormat="1" applyBorder="1" applyAlignment="1" applyProtection="1">
      <alignment/>
      <protection/>
    </xf>
    <xf numFmtId="43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39" xfId="0" applyBorder="1" applyAlignment="1">
      <alignment/>
    </xf>
    <xf numFmtId="43" fontId="0" fillId="0" borderId="2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7" xfId="0" applyFont="1" applyBorder="1" applyAlignment="1">
      <alignment/>
    </xf>
    <xf numFmtId="43" fontId="0" fillId="0" borderId="7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1" fontId="0" fillId="0" borderId="10" xfId="0" applyNumberForma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43" fontId="2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3" fontId="2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3" fontId="9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1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3" xfId="0" applyNumberFormat="1" applyFill="1" applyBorder="1" applyAlignment="1">
      <alignment/>
    </xf>
    <xf numFmtId="0" fontId="1" fillId="0" borderId="3" xfId="0" applyFont="1" applyBorder="1" applyAlignment="1">
      <alignment/>
    </xf>
    <xf numFmtId="43" fontId="1" fillId="0" borderId="39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3" fontId="2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1" fontId="0" fillId="0" borderId="0" xfId="0" applyNumberFormat="1" applyBorder="1" applyAlignment="1">
      <alignment horizontal="right"/>
    </xf>
    <xf numFmtId="43" fontId="10" fillId="0" borderId="0" xfId="0" applyNumberFormat="1" applyFont="1" applyFill="1" applyBorder="1" applyAlignment="1">
      <alignment/>
    </xf>
    <xf numFmtId="43" fontId="0" fillId="0" borderId="39" xfId="0" applyNumberFormat="1" applyBorder="1" applyAlignment="1">
      <alignment/>
    </xf>
    <xf numFmtId="0" fontId="9" fillId="0" borderId="0" xfId="0" applyFont="1" applyAlignment="1">
      <alignment horizontal="left"/>
    </xf>
    <xf numFmtId="43" fontId="0" fillId="0" borderId="0" xfId="0" applyNumberFormat="1" applyBorder="1" applyAlignment="1">
      <alignment horizontal="center"/>
    </xf>
    <xf numFmtId="43" fontId="0" fillId="0" borderId="39" xfId="0" applyNumberFormat="1" applyBorder="1" applyAlignment="1">
      <alignment horizontal="center"/>
    </xf>
    <xf numFmtId="0" fontId="0" fillId="0" borderId="0" xfId="0" applyFont="1" applyBorder="1" applyAlignment="1" applyProtection="1" quotePrefix="1">
      <alignment/>
      <protection locked="0"/>
    </xf>
    <xf numFmtId="41" fontId="0" fillId="0" borderId="0" xfId="0" applyNumberFormat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1" fontId="0" fillId="0" borderId="39" xfId="0" applyNumberFormat="1" applyBorder="1" applyAlignment="1">
      <alignment/>
    </xf>
    <xf numFmtId="182" fontId="12" fillId="0" borderId="40" xfId="0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left"/>
    </xf>
    <xf numFmtId="0" fontId="0" fillId="0" borderId="2" xfId="0" applyFill="1" applyBorder="1" applyAlignment="1">
      <alignment/>
    </xf>
    <xf numFmtId="43" fontId="0" fillId="5" borderId="0" xfId="0" applyNumberFormat="1" applyFill="1" applyAlignment="1">
      <alignment/>
    </xf>
    <xf numFmtId="44" fontId="0" fillId="0" borderId="0" xfId="17" applyAlignment="1">
      <alignment/>
    </xf>
    <xf numFmtId="0" fontId="23" fillId="0" borderId="0" xfId="19" applyNumberFormat="1" applyFont="1" applyFill="1" applyBorder="1" applyAlignment="1">
      <alignment horizontal="left"/>
    </xf>
    <xf numFmtId="0" fontId="22" fillId="0" borderId="0" xfId="19" applyNumberFormat="1" applyBorder="1" applyAlignment="1">
      <alignment/>
    </xf>
    <xf numFmtId="0" fontId="23" fillId="0" borderId="0" xfId="23" applyFont="1" applyAlignment="1">
      <alignment horizontal="left"/>
      <protection/>
    </xf>
    <xf numFmtId="0" fontId="23" fillId="0" borderId="0" xfId="19" applyNumberFormat="1" applyFont="1" applyFill="1" applyBorder="1" applyAlignment="1">
      <alignment/>
    </xf>
    <xf numFmtId="0" fontId="23" fillId="0" borderId="0" xfId="19" applyNumberFormat="1" applyFont="1" applyFill="1" applyBorder="1" applyAlignment="1">
      <alignment horizontal="right"/>
    </xf>
    <xf numFmtId="4" fontId="22" fillId="0" borderId="0" xfId="19" applyNumberFormat="1" applyBorder="1" applyAlignment="1">
      <alignment/>
    </xf>
    <xf numFmtId="180" fontId="22" fillId="0" borderId="0" xfId="15" applyNumberFormat="1" applyBorder="1" applyAlignment="1">
      <alignment/>
    </xf>
    <xf numFmtId="180" fontId="22" fillId="0" borderId="0" xfId="15" applyNumberFormat="1" applyBorder="1" applyAlignment="1">
      <alignment/>
    </xf>
    <xf numFmtId="43" fontId="22" fillId="0" borderId="0" xfId="15" applyBorder="1" applyAlignment="1">
      <alignment/>
    </xf>
    <xf numFmtId="0" fontId="22" fillId="0" borderId="0" xfId="23" applyNumberFormat="1" applyBorder="1">
      <alignment/>
      <protection/>
    </xf>
    <xf numFmtId="165" fontId="23" fillId="0" borderId="0" xfId="19" applyNumberFormat="1" applyFont="1" applyFill="1" applyBorder="1" applyAlignment="1">
      <alignment/>
    </xf>
    <xf numFmtId="4" fontId="24" fillId="0" borderId="41" xfId="19" applyNumberFormat="1" applyFont="1" applyBorder="1" applyAlignment="1">
      <alignment/>
    </xf>
    <xf numFmtId="180" fontId="22" fillId="0" borderId="0" xfId="15" applyNumberFormat="1" applyBorder="1" applyAlignment="1">
      <alignment horizontal="center"/>
    </xf>
    <xf numFmtId="43" fontId="25" fillId="0" borderId="0" xfId="15" applyFont="1" applyBorder="1" applyAlignment="1">
      <alignment/>
    </xf>
    <xf numFmtId="0" fontId="26" fillId="0" borderId="42" xfId="19" applyNumberFormat="1" applyFont="1" applyFill="1" applyBorder="1" applyAlignment="1">
      <alignment horizontal="right" vertical="top" wrapText="1"/>
    </xf>
    <xf numFmtId="0" fontId="26" fillId="0" borderId="43" xfId="19" applyNumberFormat="1" applyFont="1" applyFill="1" applyBorder="1" applyAlignment="1">
      <alignment horizontal="right" vertical="top" wrapText="1"/>
    </xf>
    <xf numFmtId="0" fontId="26" fillId="0" borderId="43" xfId="19" applyNumberFormat="1" applyFont="1" applyFill="1" applyBorder="1" applyAlignment="1">
      <alignment horizontal="left" vertical="top" wrapText="1"/>
    </xf>
    <xf numFmtId="0" fontId="26" fillId="0" borderId="43" xfId="23" applyFont="1" applyBorder="1" applyAlignment="1">
      <alignment horizontal="right" vertical="top" wrapText="1"/>
      <protection/>
    </xf>
    <xf numFmtId="4" fontId="26" fillId="0" borderId="44" xfId="19" applyNumberFormat="1" applyFont="1" applyFill="1" applyBorder="1" applyAlignment="1">
      <alignment horizontal="right" vertical="top" wrapText="1"/>
    </xf>
    <xf numFmtId="180" fontId="22" fillId="0" borderId="45" xfId="15" applyNumberFormat="1" applyFont="1" applyBorder="1" applyAlignment="1">
      <alignment/>
    </xf>
    <xf numFmtId="180" fontId="22" fillId="0" borderId="0" xfId="15" applyNumberFormat="1" applyFont="1" applyBorder="1" applyAlignment="1">
      <alignment horizontal="center"/>
    </xf>
    <xf numFmtId="0" fontId="26" fillId="0" borderId="0" xfId="19" applyNumberFormat="1" applyFont="1" applyFill="1" applyBorder="1" applyAlignment="1">
      <alignment horizontal="left"/>
    </xf>
    <xf numFmtId="0" fontId="27" fillId="0" borderId="46" xfId="19" applyNumberFormat="1" applyFont="1" applyFill="1" applyBorder="1" applyAlignment="1">
      <alignment horizontal="left"/>
    </xf>
    <xf numFmtId="0" fontId="27" fillId="0" borderId="47" xfId="19" applyNumberFormat="1" applyFont="1" applyFill="1" applyBorder="1" applyAlignment="1">
      <alignment horizontal="left"/>
    </xf>
    <xf numFmtId="0" fontId="26" fillId="0" borderId="47" xfId="19" applyNumberFormat="1" applyFont="1" applyFill="1" applyBorder="1" applyAlignment="1">
      <alignment horizontal="left"/>
    </xf>
    <xf numFmtId="0" fontId="27" fillId="0" borderId="47" xfId="23" applyFont="1" applyBorder="1" applyAlignment="1">
      <alignment horizontal="left"/>
      <protection/>
    </xf>
    <xf numFmtId="0" fontId="27" fillId="0" borderId="47" xfId="19" applyNumberFormat="1" applyFont="1" applyFill="1" applyBorder="1" applyAlignment="1">
      <alignment/>
    </xf>
    <xf numFmtId="0" fontId="28" fillId="0" borderId="47" xfId="19" applyNumberFormat="1" applyFont="1" applyBorder="1" applyAlignment="1">
      <alignment horizontal="right"/>
    </xf>
    <xf numFmtId="4" fontId="28" fillId="0" borderId="48" xfId="19" applyNumberFormat="1" applyFont="1" applyBorder="1" applyAlignment="1">
      <alignment/>
    </xf>
    <xf numFmtId="0" fontId="22" fillId="0" borderId="0" xfId="19" applyNumberFormat="1" applyFont="1" applyBorder="1" applyAlignment="1">
      <alignment/>
    </xf>
    <xf numFmtId="180" fontId="22" fillId="0" borderId="49" xfId="15" applyNumberFormat="1" applyFont="1" applyBorder="1" applyAlignment="1">
      <alignment/>
    </xf>
    <xf numFmtId="0" fontId="27" fillId="0" borderId="50" xfId="19" applyNumberFormat="1" applyFont="1" applyFill="1" applyBorder="1" applyAlignment="1">
      <alignment horizontal="left"/>
    </xf>
    <xf numFmtId="0" fontId="27" fillId="0" borderId="51" xfId="19" applyNumberFormat="1" applyFont="1" applyFill="1" applyBorder="1" applyAlignment="1">
      <alignment horizontal="left"/>
    </xf>
    <xf numFmtId="0" fontId="26" fillId="6" borderId="51" xfId="19" applyNumberFormat="1" applyFont="1" applyFill="1" applyBorder="1" applyAlignment="1">
      <alignment horizontal="left"/>
    </xf>
    <xf numFmtId="0" fontId="27" fillId="0" borderId="51" xfId="23" applyFont="1" applyBorder="1" applyAlignment="1">
      <alignment horizontal="left"/>
      <protection/>
    </xf>
    <xf numFmtId="0" fontId="27" fillId="0" borderId="51" xfId="19" applyNumberFormat="1" applyFont="1" applyFill="1" applyBorder="1" applyAlignment="1">
      <alignment/>
    </xf>
    <xf numFmtId="0" fontId="28" fillId="0" borderId="51" xfId="19" applyNumberFormat="1" applyFont="1" applyBorder="1" applyAlignment="1">
      <alignment/>
    </xf>
    <xf numFmtId="4" fontId="28" fillId="0" borderId="52" xfId="19" applyNumberFormat="1" applyFont="1" applyBorder="1" applyAlignment="1">
      <alignment/>
    </xf>
    <xf numFmtId="180" fontId="22" fillId="0" borderId="49" xfId="15" applyNumberFormat="1" applyBorder="1" applyAlignment="1">
      <alignment/>
    </xf>
    <xf numFmtId="0" fontId="26" fillId="7" borderId="51" xfId="19" applyNumberFormat="1" applyFont="1" applyFill="1" applyBorder="1" applyAlignment="1">
      <alignment horizontal="left"/>
    </xf>
    <xf numFmtId="0" fontId="26" fillId="8" borderId="51" xfId="19" applyNumberFormat="1" applyFont="1" applyFill="1" applyBorder="1" applyAlignment="1">
      <alignment horizontal="left"/>
    </xf>
    <xf numFmtId="0" fontId="27" fillId="0" borderId="53" xfId="19" applyNumberFormat="1" applyFont="1" applyFill="1" applyBorder="1" applyAlignment="1">
      <alignment horizontal="left"/>
    </xf>
    <xf numFmtId="0" fontId="27" fillId="0" borderId="54" xfId="19" applyNumberFormat="1" applyFont="1" applyFill="1" applyBorder="1" applyAlignment="1">
      <alignment horizontal="left"/>
    </xf>
    <xf numFmtId="0" fontId="26" fillId="8" borderId="54" xfId="19" applyNumberFormat="1" applyFont="1" applyFill="1" applyBorder="1" applyAlignment="1">
      <alignment horizontal="left"/>
    </xf>
    <xf numFmtId="0" fontId="27" fillId="0" borderId="54" xfId="23" applyFont="1" applyBorder="1" applyAlignment="1">
      <alignment horizontal="left"/>
      <protection/>
    </xf>
    <xf numFmtId="0" fontId="27" fillId="0" borderId="54" xfId="19" applyNumberFormat="1" applyFont="1" applyFill="1" applyBorder="1" applyAlignment="1">
      <alignment/>
    </xf>
    <xf numFmtId="0" fontId="28" fillId="0" borderId="54" xfId="19" applyNumberFormat="1" applyFont="1" applyBorder="1" applyAlignment="1">
      <alignment/>
    </xf>
    <xf numFmtId="0" fontId="27" fillId="0" borderId="1" xfId="19" applyNumberFormat="1" applyFont="1" applyFill="1" applyBorder="1" applyAlignment="1">
      <alignment/>
    </xf>
    <xf numFmtId="0" fontId="27" fillId="0" borderId="0" xfId="19" applyNumberFormat="1" applyFont="1" applyFill="1" applyBorder="1" applyAlignment="1">
      <alignment horizontal="left"/>
    </xf>
    <xf numFmtId="0" fontId="27" fillId="0" borderId="10" xfId="19" applyNumberFormat="1" applyFont="1" applyFill="1" applyBorder="1" applyAlignment="1">
      <alignment horizontal="left"/>
    </xf>
    <xf numFmtId="0" fontId="27" fillId="0" borderId="0" xfId="23" applyFont="1" applyAlignment="1">
      <alignment horizontal="left"/>
      <protection/>
    </xf>
    <xf numFmtId="0" fontId="27" fillId="0" borderId="0" xfId="19" applyNumberFormat="1" applyFont="1" applyFill="1" applyBorder="1" applyAlignment="1">
      <alignment/>
    </xf>
    <xf numFmtId="0" fontId="28" fillId="0" borderId="0" xfId="19" applyNumberFormat="1" applyFont="1" applyBorder="1" applyAlignment="1">
      <alignment/>
    </xf>
    <xf numFmtId="4" fontId="28" fillId="0" borderId="44" xfId="19" applyNumberFormat="1" applyFont="1" applyBorder="1" applyAlignment="1">
      <alignment/>
    </xf>
    <xf numFmtId="0" fontId="26" fillId="7" borderId="48" xfId="19" applyNumberFormat="1" applyFont="1" applyFill="1" applyBorder="1" applyAlignment="1">
      <alignment horizontal="left"/>
    </xf>
    <xf numFmtId="0" fontId="28" fillId="0" borderId="47" xfId="19" applyNumberFormat="1" applyFont="1" applyBorder="1" applyAlignment="1">
      <alignment/>
    </xf>
    <xf numFmtId="0" fontId="26" fillId="8" borderId="52" xfId="19" applyNumberFormat="1" applyFont="1" applyFill="1" applyBorder="1" applyAlignment="1">
      <alignment horizontal="left"/>
    </xf>
    <xf numFmtId="0" fontId="26" fillId="5" borderId="52" xfId="19" applyNumberFormat="1" applyFont="1" applyFill="1" applyBorder="1" applyAlignment="1">
      <alignment horizontal="left"/>
    </xf>
    <xf numFmtId="0" fontId="26" fillId="5" borderId="55" xfId="19" applyNumberFormat="1" applyFont="1" applyFill="1" applyBorder="1" applyAlignment="1">
      <alignment horizontal="left"/>
    </xf>
    <xf numFmtId="0" fontId="26" fillId="9" borderId="48" xfId="19" applyNumberFormat="1" applyFont="1" applyFill="1" applyBorder="1" applyAlignment="1">
      <alignment horizontal="left"/>
    </xf>
    <xf numFmtId="0" fontId="26" fillId="10" borderId="52" xfId="19" applyNumberFormat="1" applyFont="1" applyFill="1" applyBorder="1" applyAlignment="1">
      <alignment horizontal="left"/>
    </xf>
    <xf numFmtId="0" fontId="26" fillId="0" borderId="51" xfId="19" applyNumberFormat="1" applyFont="1" applyFill="1" applyBorder="1" applyAlignment="1">
      <alignment horizontal="left"/>
    </xf>
    <xf numFmtId="0" fontId="26" fillId="7" borderId="52" xfId="19" applyNumberFormat="1" applyFont="1" applyFill="1" applyBorder="1" applyAlignment="1">
      <alignment horizontal="left"/>
    </xf>
    <xf numFmtId="0" fontId="26" fillId="0" borderId="54" xfId="19" applyNumberFormat="1" applyFont="1" applyFill="1" applyBorder="1" applyAlignment="1">
      <alignment horizontal="left"/>
    </xf>
    <xf numFmtId="0" fontId="26" fillId="7" borderId="55" xfId="19" applyNumberFormat="1" applyFont="1" applyFill="1" applyBorder="1" applyAlignment="1">
      <alignment horizontal="left"/>
    </xf>
    <xf numFmtId="0" fontId="26" fillId="11" borderId="48" xfId="19" applyNumberFormat="1" applyFont="1" applyFill="1" applyBorder="1" applyAlignment="1">
      <alignment horizontal="left"/>
    </xf>
    <xf numFmtId="0" fontId="26" fillId="2" borderId="52" xfId="19" applyNumberFormat="1" applyFont="1" applyFill="1" applyBorder="1" applyAlignment="1">
      <alignment horizontal="left"/>
    </xf>
    <xf numFmtId="0" fontId="26" fillId="2" borderId="55" xfId="19" applyNumberFormat="1" applyFont="1" applyFill="1" applyBorder="1" applyAlignment="1">
      <alignment horizontal="left"/>
    </xf>
    <xf numFmtId="0" fontId="28" fillId="0" borderId="1" xfId="19" applyNumberFormat="1" applyFont="1" applyBorder="1" applyAlignment="1">
      <alignment/>
    </xf>
    <xf numFmtId="0" fontId="27" fillId="0" borderId="50" xfId="19" applyNumberFormat="1" applyFont="1" applyFill="1" applyBorder="1" applyAlignment="1">
      <alignment/>
    </xf>
    <xf numFmtId="0" fontId="27" fillId="0" borderId="42" xfId="19" applyNumberFormat="1" applyFont="1" applyFill="1" applyBorder="1" applyAlignment="1">
      <alignment horizontal="left"/>
    </xf>
    <xf numFmtId="0" fontId="27" fillId="0" borderId="43" xfId="19" applyNumberFormat="1" applyFont="1" applyFill="1" applyBorder="1" applyAlignment="1">
      <alignment horizontal="left"/>
    </xf>
    <xf numFmtId="0" fontId="26" fillId="2" borderId="44" xfId="19" applyNumberFormat="1" applyFont="1" applyFill="1" applyBorder="1" applyAlignment="1">
      <alignment horizontal="left"/>
    </xf>
    <xf numFmtId="0" fontId="27" fillId="0" borderId="56" xfId="19" applyNumberFormat="1" applyFont="1" applyFill="1" applyBorder="1" applyAlignment="1">
      <alignment horizontal="left"/>
    </xf>
    <xf numFmtId="0" fontId="27" fillId="0" borderId="43" xfId="23" applyFont="1" applyBorder="1" applyAlignment="1">
      <alignment horizontal="left"/>
      <protection/>
    </xf>
    <xf numFmtId="0" fontId="27" fillId="0" borderId="43" xfId="19" applyNumberFormat="1" applyFont="1" applyFill="1" applyBorder="1" applyAlignment="1">
      <alignment/>
    </xf>
    <xf numFmtId="0" fontId="28" fillId="0" borderId="43" xfId="19" applyNumberFormat="1" applyFont="1" applyBorder="1" applyAlignment="1">
      <alignment/>
    </xf>
    <xf numFmtId="4" fontId="28" fillId="0" borderId="57" xfId="19" applyNumberFormat="1" applyFont="1" applyBorder="1" applyAlignment="1">
      <alignment/>
    </xf>
    <xf numFmtId="180" fontId="22" fillId="0" borderId="58" xfId="15" applyNumberFormat="1" applyBorder="1" applyAlignment="1">
      <alignment/>
    </xf>
    <xf numFmtId="0" fontId="27" fillId="0" borderId="5" xfId="19" applyNumberFormat="1" applyFont="1" applyFill="1" applyBorder="1" applyAlignment="1">
      <alignment/>
    </xf>
    <xf numFmtId="0" fontId="26" fillId="0" borderId="3" xfId="19" applyNumberFormat="1" applyFont="1" applyFill="1" applyBorder="1" applyAlignment="1">
      <alignment horizontal="left"/>
    </xf>
    <xf numFmtId="0" fontId="27" fillId="0" borderId="3" xfId="19" applyNumberFormat="1" applyFont="1" applyFill="1" applyBorder="1" applyAlignment="1">
      <alignment horizontal="left"/>
    </xf>
    <xf numFmtId="0" fontId="27" fillId="0" borderId="3" xfId="23" applyFont="1" applyBorder="1" applyAlignment="1">
      <alignment horizontal="left"/>
      <protection/>
    </xf>
    <xf numFmtId="0" fontId="22" fillId="0" borderId="3" xfId="19" applyNumberFormat="1" applyBorder="1" applyAlignment="1">
      <alignment/>
    </xf>
    <xf numFmtId="4" fontId="28" fillId="0" borderId="7" xfId="19" applyNumberFormat="1" applyFont="1" applyBorder="1" applyAlignment="1">
      <alignment/>
    </xf>
    <xf numFmtId="2" fontId="22" fillId="0" borderId="0" xfId="15" applyNumberFormat="1" applyBorder="1" applyAlignment="1">
      <alignment/>
    </xf>
    <xf numFmtId="0" fontId="26" fillId="0" borderId="59" xfId="19" applyNumberFormat="1" applyFont="1" applyFill="1" applyBorder="1" applyAlignment="1">
      <alignment/>
    </xf>
    <xf numFmtId="0" fontId="26" fillId="0" borderId="60" xfId="23" applyFont="1" applyBorder="1" applyAlignment="1">
      <alignment horizontal="left"/>
      <protection/>
    </xf>
    <xf numFmtId="3" fontId="24" fillId="0" borderId="61" xfId="19" applyNumberFormat="1" applyFont="1" applyBorder="1" applyAlignment="1">
      <alignment/>
    </xf>
    <xf numFmtId="0" fontId="24" fillId="0" borderId="61" xfId="19" applyNumberFormat="1" applyFont="1" applyBorder="1" applyAlignment="1">
      <alignment/>
    </xf>
    <xf numFmtId="4" fontId="24" fillId="0" borderId="61" xfId="19" applyNumberFormat="1" applyFont="1" applyBorder="1" applyAlignment="1">
      <alignment/>
    </xf>
    <xf numFmtId="180" fontId="25" fillId="0" borderId="0" xfId="15" applyNumberFormat="1" applyFont="1" applyBorder="1" applyAlignment="1">
      <alignment horizontal="right"/>
    </xf>
    <xf numFmtId="0" fontId="27" fillId="0" borderId="62" xfId="19" applyNumberFormat="1" applyFont="1" applyFill="1" applyBorder="1" applyAlignment="1">
      <alignment horizontal="left"/>
    </xf>
    <xf numFmtId="9" fontId="27" fillId="0" borderId="63" xfId="23" applyNumberFormat="1" applyFont="1" applyBorder="1" applyAlignment="1">
      <alignment horizontal="left"/>
      <protection/>
    </xf>
    <xf numFmtId="0" fontId="27" fillId="0" borderId="63" xfId="19" applyNumberFormat="1" applyFont="1" applyFill="1" applyBorder="1" applyAlignment="1">
      <alignment/>
    </xf>
    <xf numFmtId="0" fontId="28" fillId="0" borderId="64" xfId="19" applyNumberFormat="1" applyFont="1" applyBorder="1" applyAlignment="1">
      <alignment/>
    </xf>
    <xf numFmtId="4" fontId="28" fillId="0" borderId="65" xfId="19" applyNumberFormat="1" applyFont="1" applyBorder="1" applyAlignment="1">
      <alignment horizontal="left"/>
    </xf>
    <xf numFmtId="180" fontId="25" fillId="0" borderId="0" xfId="15" applyNumberFormat="1" applyFont="1" applyBorder="1" applyAlignment="1">
      <alignment/>
    </xf>
    <xf numFmtId="0" fontId="25" fillId="0" borderId="0" xfId="19" applyNumberFormat="1" applyFont="1" applyBorder="1" applyAlignment="1">
      <alignment/>
    </xf>
    <xf numFmtId="0" fontId="22" fillId="0" borderId="4" xfId="19" applyNumberFormat="1" applyBorder="1" applyAlignment="1">
      <alignment/>
    </xf>
    <xf numFmtId="0" fontId="22" fillId="0" borderId="11" xfId="19" applyNumberFormat="1" applyBorder="1" applyAlignment="1">
      <alignment/>
    </xf>
    <xf numFmtId="0" fontId="27" fillId="0" borderId="11" xfId="23" applyFont="1" applyBorder="1" applyAlignment="1">
      <alignment horizontal="left"/>
      <protection/>
    </xf>
    <xf numFmtId="0" fontId="29" fillId="0" borderId="11" xfId="23" applyNumberFormat="1" applyFont="1" applyBorder="1" applyAlignment="1">
      <alignment horizontal="right"/>
      <protection/>
    </xf>
    <xf numFmtId="4" fontId="22" fillId="0" borderId="12" xfId="23" applyNumberFormat="1" applyBorder="1">
      <alignment/>
      <protection/>
    </xf>
    <xf numFmtId="0" fontId="22" fillId="0" borderId="1" xfId="19" applyNumberFormat="1" applyBorder="1" applyAlignment="1">
      <alignment/>
    </xf>
    <xf numFmtId="0" fontId="27" fillId="0" borderId="0" xfId="23" applyFont="1" applyBorder="1" applyAlignment="1">
      <alignment horizontal="left"/>
      <protection/>
    </xf>
    <xf numFmtId="0" fontId="29" fillId="0" borderId="0" xfId="23" applyNumberFormat="1" applyFont="1" applyBorder="1" applyAlignment="1">
      <alignment horizontal="right"/>
      <protection/>
    </xf>
    <xf numFmtId="4" fontId="22" fillId="0" borderId="2" xfId="23" applyNumberFormat="1" applyBorder="1">
      <alignment/>
      <protection/>
    </xf>
    <xf numFmtId="0" fontId="22" fillId="0" borderId="5" xfId="19" applyNumberFormat="1" applyBorder="1" applyAlignment="1">
      <alignment/>
    </xf>
    <xf numFmtId="0" fontId="29" fillId="0" borderId="3" xfId="23" applyNumberFormat="1" applyFont="1" applyBorder="1" applyAlignment="1">
      <alignment horizontal="right"/>
      <protection/>
    </xf>
    <xf numFmtId="4" fontId="22" fillId="0" borderId="6" xfId="23" applyNumberFormat="1" applyBorder="1">
      <alignment/>
      <protection/>
    </xf>
    <xf numFmtId="4" fontId="22" fillId="0" borderId="0" xfId="23" applyNumberFormat="1" applyBorder="1">
      <alignment/>
      <protection/>
    </xf>
    <xf numFmtId="0" fontId="30" fillId="0" borderId="0" xfId="23" applyNumberFormat="1" applyFont="1" applyBorder="1">
      <alignment/>
      <protection/>
    </xf>
    <xf numFmtId="4" fontId="25" fillId="0" borderId="41" xfId="23" applyNumberFormat="1" applyFont="1" applyBorder="1">
      <alignment/>
      <protection/>
    </xf>
    <xf numFmtId="4" fontId="25" fillId="0" borderId="0" xfId="23" applyNumberFormat="1" applyFont="1" applyBorder="1">
      <alignment/>
      <protection/>
    </xf>
    <xf numFmtId="4" fontId="22" fillId="0" borderId="0" xfId="23" applyNumberFormat="1" applyFont="1" applyBorder="1">
      <alignment/>
      <protection/>
    </xf>
    <xf numFmtId="0" fontId="30" fillId="12" borderId="4" xfId="23" applyNumberFormat="1" applyFont="1" applyFill="1" applyBorder="1">
      <alignment/>
      <protection/>
    </xf>
    <xf numFmtId="4" fontId="22" fillId="12" borderId="12" xfId="23" applyNumberFormat="1" applyFill="1" applyBorder="1">
      <alignment/>
      <protection/>
    </xf>
    <xf numFmtId="10" fontId="22" fillId="0" borderId="0" xfId="23" applyNumberFormat="1" applyBorder="1">
      <alignment/>
      <protection/>
    </xf>
    <xf numFmtId="0" fontId="30" fillId="13" borderId="1" xfId="23" applyNumberFormat="1" applyFont="1" applyFill="1" applyBorder="1">
      <alignment/>
      <protection/>
    </xf>
    <xf numFmtId="4" fontId="22" fillId="13" borderId="2" xfId="23" applyNumberFormat="1" applyFill="1" applyBorder="1">
      <alignment/>
      <protection/>
    </xf>
    <xf numFmtId="0" fontId="30" fillId="14" borderId="1" xfId="23" applyNumberFormat="1" applyFont="1" applyFill="1" applyBorder="1">
      <alignment/>
      <protection/>
    </xf>
    <xf numFmtId="4" fontId="22" fillId="14" borderId="2" xfId="23" applyNumberFormat="1" applyFill="1" applyBorder="1">
      <alignment/>
      <protection/>
    </xf>
    <xf numFmtId="0" fontId="30" fillId="0" borderId="5" xfId="23" applyNumberFormat="1" applyFont="1" applyBorder="1">
      <alignment/>
      <protection/>
    </xf>
    <xf numFmtId="0" fontId="22" fillId="0" borderId="0" xfId="23">
      <alignment/>
      <protection/>
    </xf>
    <xf numFmtId="180" fontId="22" fillId="0" borderId="0" xfId="15" applyNumberFormat="1" applyFont="1" applyBorder="1" applyAlignment="1">
      <alignment horizontal="right"/>
    </xf>
    <xf numFmtId="43" fontId="0" fillId="0" borderId="0" xfId="15" applyAlignment="1">
      <alignment/>
    </xf>
    <xf numFmtId="44" fontId="1" fillId="0" borderId="0" xfId="17" applyFont="1" applyAlignment="1">
      <alignment/>
    </xf>
    <xf numFmtId="10" fontId="1" fillId="0" borderId="0" xfId="24" applyNumberFormat="1" applyFont="1" applyAlignment="1">
      <alignment/>
    </xf>
    <xf numFmtId="200" fontId="0" fillId="0" borderId="0" xfId="17" applyNumberFormat="1" applyAlignment="1">
      <alignment/>
    </xf>
    <xf numFmtId="200" fontId="1" fillId="0" borderId="0" xfId="17" applyNumberFormat="1" applyFont="1" applyAlignment="1">
      <alignment/>
    </xf>
    <xf numFmtId="200" fontId="1" fillId="0" borderId="0" xfId="17" applyNumberFormat="1" applyFont="1" applyBorder="1" applyAlignment="1">
      <alignment/>
    </xf>
    <xf numFmtId="200" fontId="0" fillId="0" borderId="0" xfId="17" applyNumberFormat="1" applyBorder="1" applyAlignment="1">
      <alignment/>
    </xf>
    <xf numFmtId="200" fontId="0" fillId="0" borderId="0" xfId="17" applyNumberFormat="1" applyFont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200" fontId="33" fillId="0" borderId="0" xfId="17" applyNumberFormat="1" applyFont="1" applyFill="1" applyAlignment="1">
      <alignment/>
    </xf>
    <xf numFmtId="44" fontId="33" fillId="0" borderId="0" xfId="17" applyFont="1" applyFill="1" applyAlignment="1">
      <alignment/>
    </xf>
    <xf numFmtId="4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66" xfId="19" applyNumberFormat="1" applyFont="1" applyFill="1" applyBorder="1" applyAlignment="1">
      <alignment vertical="top"/>
    </xf>
    <xf numFmtId="0" fontId="22" fillId="0" borderId="59" xfId="23" applyBorder="1" applyAlignment="1">
      <alignment vertical="top"/>
      <protection/>
    </xf>
    <xf numFmtId="0" fontId="22" fillId="0" borderId="67" xfId="23" applyBorder="1" applyAlignment="1">
      <alignment vertical="top"/>
      <protection/>
    </xf>
    <xf numFmtId="0" fontId="27" fillId="0" borderId="68" xfId="19" applyNumberFormat="1" applyFont="1" applyFill="1" applyBorder="1" applyAlignment="1">
      <alignment vertical="top"/>
    </xf>
    <xf numFmtId="0" fontId="27" fillId="0" borderId="59" xfId="19" applyNumberFormat="1" applyFont="1" applyFill="1" applyBorder="1" applyAlignment="1">
      <alignment vertical="top"/>
    </xf>
    <xf numFmtId="0" fontId="27" fillId="0" borderId="67" xfId="19" applyNumberFormat="1" applyFont="1" applyFill="1" applyBorder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23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_wsacc050705 PROPOSED" xfId="19"/>
    <cellStyle name="Followed Hyperlink" xfId="20"/>
    <cellStyle name="Hyperlink" xfId="21"/>
    <cellStyle name="Normal_Sheet1 (2)" xfId="22"/>
    <cellStyle name="Normal_wsacc050705 PROPOSED" xfId="23"/>
    <cellStyle name="Percent" xfId="24"/>
  </cellStyles>
  <dxfs count="3">
    <dxf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190500</xdr:rowOff>
    </xdr:from>
    <xdr:to>
      <xdr:col>12</xdr:col>
      <xdr:colOff>923925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81000"/>
          <a:ext cx="89630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rle\LOCALS~1\Temp\C.notes.Notes.Data\wst%20prelims%20conc%20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urrent%20Instructions\Shg\0590%20-%20Wansey%20Street\Valautions\Valuation%20No%2015%20+%20tenure%20sp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formation"/>
      <sheetName val="Precontract"/>
      <sheetName val="Staff"/>
      <sheetName val="Hutting"/>
      <sheetName val="Telecommunications"/>
      <sheetName val="Craneage"/>
      <sheetName val="Hoists"/>
      <sheetName val="Plant"/>
      <sheetName val="Scaffolding"/>
      <sheetName val="Temp.wks"/>
      <sheetName val="Services"/>
      <sheetName val="Hoarding"/>
      <sheetName val="Off site costs"/>
      <sheetName val="Cleaning"/>
      <sheetName val="Summary"/>
      <sheetName val="Fees"/>
      <sheetName val="Fixed Price"/>
      <sheetName val="Green Sheet"/>
      <sheetName val="Very Green Sheet"/>
    </sheetNames>
    <sheetDataSet>
      <sheetData sheetId="18">
        <row r="32">
          <cell r="F32">
            <v>523352.5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Summary"/>
      <sheetName val="COST REPORT"/>
      <sheetName val="Valuation Words"/>
      <sheetName val="Cert - blank"/>
      <sheetName val="Tenure Split - new"/>
      <sheetName val="Tenure Split"/>
    </sheetNames>
    <sheetDataSet>
      <sheetData sheetId="0">
        <row r="202">
          <cell r="D202">
            <v>246474.16559999995</v>
          </cell>
        </row>
        <row r="203">
          <cell r="D203">
            <v>5417.37</v>
          </cell>
        </row>
        <row r="204">
          <cell r="D204">
            <v>-4226.04</v>
          </cell>
        </row>
        <row r="205">
          <cell r="D205">
            <v>15218.56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0"/>
  <sheetViews>
    <sheetView tabSelected="1" workbookViewId="0" topLeftCell="A1">
      <pane ySplit="2" topLeftCell="BM144" activePane="bottomLeft" state="frozen"/>
      <selection pane="topLeft" activeCell="A1" sqref="A1"/>
      <selection pane="bottomLeft" activeCell="I150" sqref="I150"/>
    </sheetView>
  </sheetViews>
  <sheetFormatPr defaultColWidth="9.140625" defaultRowHeight="12.75"/>
  <cols>
    <col min="1" max="1" width="3.421875" style="0" customWidth="1"/>
    <col min="2" max="2" width="38.7109375" style="427" customWidth="1"/>
    <col min="3" max="3" width="6.421875" style="0" customWidth="1"/>
    <col min="4" max="4" width="6.8515625" style="0" customWidth="1"/>
    <col min="5" max="5" width="10.140625" style="422" customWidth="1"/>
    <col min="6" max="6" width="11.8515625" style="422" customWidth="1"/>
    <col min="7" max="7" width="3.421875" style="0" customWidth="1"/>
    <col min="8" max="8" width="15.140625" style="422" customWidth="1"/>
    <col min="9" max="9" width="14.00390625" style="292" bestFit="1" customWidth="1"/>
    <col min="10" max="10" width="12.8515625" style="0" customWidth="1"/>
  </cols>
  <sheetData>
    <row r="1" spans="7:12" ht="12.75">
      <c r="G1" s="434"/>
      <c r="H1" s="430">
        <f>SUM(H3:H177)</f>
        <v>4221415</v>
      </c>
      <c r="I1" s="431">
        <f>ROUND('Notes Page'!C$1,-1)</f>
        <v>4222550</v>
      </c>
      <c r="J1" s="432">
        <f>I1-H1</f>
        <v>1135</v>
      </c>
      <c r="K1" s="434"/>
      <c r="L1" s="434"/>
    </row>
    <row r="2" spans="7:12" ht="12.75">
      <c r="G2" s="434"/>
      <c r="H2" s="430"/>
      <c r="I2" s="431">
        <f>'Notes Page'!C$1</f>
        <v>4222548.5356</v>
      </c>
      <c r="J2" s="433"/>
      <c r="K2" s="434"/>
      <c r="L2" s="434"/>
    </row>
    <row r="3" spans="2:10" s="37" customFormat="1" ht="12.75">
      <c r="B3" s="428" t="s">
        <v>506</v>
      </c>
      <c r="E3" s="423"/>
      <c r="F3" s="423"/>
      <c r="H3" s="423">
        <f>SUM(F4:F22)</f>
        <v>333550</v>
      </c>
      <c r="I3" s="420">
        <f>ROUND(H3/'Notes Page'!C$10,2)</f>
        <v>146.96</v>
      </c>
      <c r="J3" s="421">
        <f>(H3/H$1)</f>
        <v>0.07901379039966457</v>
      </c>
    </row>
    <row r="4" spans="2:6" ht="12.75">
      <c r="B4" s="427" t="s">
        <v>292</v>
      </c>
      <c r="D4" t="s">
        <v>163</v>
      </c>
      <c r="F4" s="422">
        <v>8000</v>
      </c>
    </row>
    <row r="5" spans="2:6" ht="12.75">
      <c r="B5" s="427" t="s">
        <v>307</v>
      </c>
      <c r="C5">
        <v>150</v>
      </c>
      <c r="D5" t="s">
        <v>554</v>
      </c>
      <c r="E5" s="422">
        <v>5</v>
      </c>
      <c r="F5" s="422">
        <f aca="true" t="shared" si="0" ref="F5:F16">C5*E5</f>
        <v>750</v>
      </c>
    </row>
    <row r="6" spans="2:6" ht="12.75">
      <c r="B6" s="427" t="s">
        <v>308</v>
      </c>
      <c r="D6" t="s">
        <v>163</v>
      </c>
      <c r="F6" s="422">
        <v>500</v>
      </c>
    </row>
    <row r="7" spans="2:6" ht="25.5">
      <c r="B7" s="427" t="s">
        <v>309</v>
      </c>
      <c r="C7">
        <v>315</v>
      </c>
      <c r="D7" t="s">
        <v>585</v>
      </c>
      <c r="E7" s="422">
        <v>40</v>
      </c>
      <c r="F7" s="422">
        <f t="shared" si="0"/>
        <v>12600</v>
      </c>
    </row>
    <row r="8" spans="2:6" ht="12.75">
      <c r="B8" s="427" t="s">
        <v>310</v>
      </c>
      <c r="C8">
        <v>70</v>
      </c>
      <c r="D8" t="s">
        <v>554</v>
      </c>
      <c r="E8" s="422">
        <v>150</v>
      </c>
      <c r="F8" s="422">
        <f t="shared" si="0"/>
        <v>10500</v>
      </c>
    </row>
    <row r="9" spans="2:6" ht="12.75">
      <c r="B9" s="427" t="s">
        <v>311</v>
      </c>
      <c r="C9">
        <v>12</v>
      </c>
      <c r="D9" t="s">
        <v>554</v>
      </c>
      <c r="E9" s="422">
        <v>1050</v>
      </c>
      <c r="F9" s="422">
        <f t="shared" si="0"/>
        <v>12600</v>
      </c>
    </row>
    <row r="10" spans="2:6" ht="12.75">
      <c r="B10" s="427" t="s">
        <v>312</v>
      </c>
      <c r="C10">
        <v>35</v>
      </c>
      <c r="D10" t="s">
        <v>53</v>
      </c>
      <c r="E10" s="422">
        <v>480</v>
      </c>
      <c r="F10" s="422">
        <f t="shared" si="0"/>
        <v>16800</v>
      </c>
    </row>
    <row r="11" spans="2:6" ht="25.5">
      <c r="B11" s="427" t="s">
        <v>414</v>
      </c>
      <c r="C11">
        <v>410</v>
      </c>
      <c r="D11" t="s">
        <v>53</v>
      </c>
      <c r="E11" s="422">
        <v>410</v>
      </c>
      <c r="F11" s="422">
        <f t="shared" si="0"/>
        <v>168100</v>
      </c>
    </row>
    <row r="12" spans="2:6" ht="12.75">
      <c r="B12" s="427" t="s">
        <v>215</v>
      </c>
      <c r="C12">
        <v>1</v>
      </c>
      <c r="D12" t="s">
        <v>568</v>
      </c>
      <c r="E12" s="422">
        <v>3500</v>
      </c>
      <c r="F12" s="422">
        <f t="shared" si="0"/>
        <v>3500</v>
      </c>
    </row>
    <row r="13" spans="2:6" ht="12.75">
      <c r="B13" s="427" t="s">
        <v>216</v>
      </c>
      <c r="C13">
        <v>3</v>
      </c>
      <c r="D13" t="s">
        <v>568</v>
      </c>
      <c r="E13" s="422">
        <v>1500</v>
      </c>
      <c r="F13" s="422">
        <f t="shared" si="0"/>
        <v>4500</v>
      </c>
    </row>
    <row r="14" spans="2:6" ht="12.75">
      <c r="B14" s="427" t="s">
        <v>293</v>
      </c>
      <c r="C14">
        <v>90</v>
      </c>
      <c r="D14" t="s">
        <v>53</v>
      </c>
      <c r="E14" s="422">
        <v>80</v>
      </c>
      <c r="F14" s="422">
        <f t="shared" si="0"/>
        <v>7200</v>
      </c>
    </row>
    <row r="15" spans="2:6" ht="12.75">
      <c r="B15" s="427" t="s">
        <v>326</v>
      </c>
      <c r="C15">
        <v>3</v>
      </c>
      <c r="D15" t="s">
        <v>568</v>
      </c>
      <c r="E15" s="422">
        <v>500</v>
      </c>
      <c r="F15" s="422">
        <f t="shared" si="0"/>
        <v>1500</v>
      </c>
    </row>
    <row r="16" spans="2:6" ht="12.75">
      <c r="B16" s="427" t="s">
        <v>327</v>
      </c>
      <c r="C16">
        <v>2</v>
      </c>
      <c r="D16" t="s">
        <v>568</v>
      </c>
      <c r="E16" s="422">
        <v>500</v>
      </c>
      <c r="F16" s="422">
        <f t="shared" si="0"/>
        <v>1000</v>
      </c>
    </row>
    <row r="17" spans="2:6" ht="12.75">
      <c r="B17" s="427" t="s">
        <v>541</v>
      </c>
      <c r="D17" t="s">
        <v>163</v>
      </c>
      <c r="F17" s="422">
        <v>10000</v>
      </c>
    </row>
    <row r="18" spans="2:6" ht="12.75">
      <c r="B18" s="427" t="s">
        <v>542</v>
      </c>
      <c r="D18" t="s">
        <v>163</v>
      </c>
      <c r="F18" s="422">
        <v>10000</v>
      </c>
    </row>
    <row r="19" spans="2:6" ht="12.75">
      <c r="B19" s="427" t="s">
        <v>540</v>
      </c>
      <c r="D19" t="s">
        <v>163</v>
      </c>
      <c r="F19" s="422">
        <v>8000</v>
      </c>
    </row>
    <row r="20" spans="2:6" ht="12.75">
      <c r="B20" s="427" t="s">
        <v>539</v>
      </c>
      <c r="D20" t="s">
        <v>163</v>
      </c>
      <c r="F20" s="422">
        <v>45500</v>
      </c>
    </row>
    <row r="21" spans="2:6" ht="12.75">
      <c r="B21" s="427" t="s">
        <v>546</v>
      </c>
      <c r="D21" t="s">
        <v>163</v>
      </c>
      <c r="F21" s="422">
        <v>12500</v>
      </c>
    </row>
    <row r="23" spans="2:10" s="37" customFormat="1" ht="12.75">
      <c r="B23" s="428" t="s">
        <v>507</v>
      </c>
      <c r="E23" s="423"/>
      <c r="F23" s="423"/>
      <c r="H23" s="423">
        <f>SUM(F23:F25)</f>
        <v>156000</v>
      </c>
      <c r="I23" s="420">
        <f>ROUND(H23/'Notes Page'!C$10,2)</f>
        <v>68.73</v>
      </c>
      <c r="J23" s="421">
        <f>(H23/H$1)</f>
        <v>0.0369544335252516</v>
      </c>
    </row>
    <row r="24" spans="2:6" ht="25.5">
      <c r="B24" s="427" t="s">
        <v>555</v>
      </c>
      <c r="C24">
        <v>120</v>
      </c>
      <c r="D24" t="s">
        <v>240</v>
      </c>
      <c r="E24" s="422">
        <v>1200</v>
      </c>
      <c r="F24" s="422">
        <f>C24*E24</f>
        <v>144000</v>
      </c>
    </row>
    <row r="25" spans="2:6" ht="12.75">
      <c r="B25" s="427" t="s">
        <v>241</v>
      </c>
      <c r="C25">
        <v>120</v>
      </c>
      <c r="D25" t="s">
        <v>240</v>
      </c>
      <c r="E25" s="422">
        <v>100</v>
      </c>
      <c r="F25" s="422">
        <f>C25*E25</f>
        <v>12000</v>
      </c>
    </row>
    <row r="27" spans="2:10" s="37" customFormat="1" ht="12.75">
      <c r="B27" s="428" t="s">
        <v>508</v>
      </c>
      <c r="E27" s="423"/>
      <c r="F27" s="423"/>
      <c r="H27" s="423">
        <f>SUM(F27:F30)</f>
        <v>208750</v>
      </c>
      <c r="I27" s="420">
        <f>ROUND(H27/'Notes Page'!C$10,2)</f>
        <v>91.98</v>
      </c>
      <c r="J27" s="421">
        <f>(H27/H$1)</f>
        <v>0.04945024357946328</v>
      </c>
    </row>
    <row r="28" spans="2:6" ht="25.5">
      <c r="B28" s="427" t="s">
        <v>556</v>
      </c>
      <c r="C28">
        <v>2175</v>
      </c>
      <c r="D28" t="s">
        <v>53</v>
      </c>
      <c r="E28" s="422">
        <v>50</v>
      </c>
      <c r="F28" s="422">
        <f>C28*E28</f>
        <v>108750</v>
      </c>
    </row>
    <row r="29" spans="2:6" ht="12.75">
      <c r="B29" s="427" t="s">
        <v>321</v>
      </c>
      <c r="C29">
        <v>20</v>
      </c>
      <c r="D29" t="s">
        <v>568</v>
      </c>
      <c r="E29" s="422">
        <v>3750</v>
      </c>
      <c r="F29" s="422">
        <f>C29*E29</f>
        <v>75000</v>
      </c>
    </row>
    <row r="30" spans="2:6" ht="12.75">
      <c r="B30" s="427" t="s">
        <v>322</v>
      </c>
      <c r="C30">
        <v>10</v>
      </c>
      <c r="D30" t="s">
        <v>568</v>
      </c>
      <c r="E30" s="422">
        <v>2500</v>
      </c>
      <c r="F30" s="422">
        <f>C30*E30</f>
        <v>25000</v>
      </c>
    </row>
    <row r="32" spans="2:10" s="37" customFormat="1" ht="12.75">
      <c r="B32" s="428" t="s">
        <v>509</v>
      </c>
      <c r="E32" s="423"/>
      <c r="F32" s="423"/>
      <c r="H32" s="423">
        <f>SUM(F32:F40)</f>
        <v>116040</v>
      </c>
      <c r="I32" s="420">
        <f>ROUND(H32/'Notes Page'!C$10,2)</f>
        <v>51.13</v>
      </c>
      <c r="J32" s="421">
        <f>(H32/H$1)</f>
        <v>0.02748841324532177</v>
      </c>
    </row>
    <row r="33" spans="2:6" ht="25.5">
      <c r="B33" s="427" t="s">
        <v>582</v>
      </c>
      <c r="C33">
        <v>490</v>
      </c>
      <c r="D33" t="s">
        <v>53</v>
      </c>
      <c r="E33" s="422">
        <v>100</v>
      </c>
      <c r="F33" s="422">
        <f aca="true" t="shared" si="1" ref="F33:F39">C33*E33</f>
        <v>49000</v>
      </c>
    </row>
    <row r="34" spans="2:6" ht="12.75">
      <c r="B34" s="427" t="s">
        <v>557</v>
      </c>
      <c r="C34">
        <v>218</v>
      </c>
      <c r="D34" t="s">
        <v>554</v>
      </c>
      <c r="E34" s="422">
        <v>20</v>
      </c>
      <c r="F34" s="422">
        <f t="shared" si="1"/>
        <v>4360</v>
      </c>
    </row>
    <row r="35" spans="2:6" ht="12.75">
      <c r="B35" s="427" t="s">
        <v>558</v>
      </c>
      <c r="C35">
        <v>170</v>
      </c>
      <c r="D35" t="s">
        <v>554</v>
      </c>
      <c r="E35" s="422">
        <v>115</v>
      </c>
      <c r="F35" s="422">
        <f t="shared" si="1"/>
        <v>19550</v>
      </c>
    </row>
    <row r="36" spans="2:6" ht="12.75">
      <c r="B36" s="427" t="s">
        <v>559</v>
      </c>
      <c r="C36">
        <v>50</v>
      </c>
      <c r="D36" t="s">
        <v>53</v>
      </c>
      <c r="E36" s="422">
        <v>145</v>
      </c>
      <c r="F36" s="422">
        <f t="shared" si="1"/>
        <v>7250</v>
      </c>
    </row>
    <row r="37" spans="2:6" ht="12.75">
      <c r="B37" s="427" t="s">
        <v>560</v>
      </c>
      <c r="C37">
        <v>60</v>
      </c>
      <c r="D37" t="s">
        <v>554</v>
      </c>
      <c r="E37" s="422">
        <v>20</v>
      </c>
      <c r="F37" s="422">
        <f t="shared" si="1"/>
        <v>1200</v>
      </c>
    </row>
    <row r="38" spans="2:6" ht="12.75">
      <c r="B38" s="427" t="s">
        <v>561</v>
      </c>
      <c r="C38">
        <v>144</v>
      </c>
      <c r="D38" t="s">
        <v>53</v>
      </c>
      <c r="E38" s="422">
        <v>45</v>
      </c>
      <c r="F38" s="422">
        <f t="shared" si="1"/>
        <v>6480</v>
      </c>
    </row>
    <row r="39" spans="2:6" ht="12.75">
      <c r="B39" s="427" t="s">
        <v>325</v>
      </c>
      <c r="C39">
        <v>52</v>
      </c>
      <c r="D39" t="s">
        <v>554</v>
      </c>
      <c r="E39" s="422">
        <v>350</v>
      </c>
      <c r="F39" s="422">
        <f t="shared" si="1"/>
        <v>18200</v>
      </c>
    </row>
    <row r="40" spans="2:6" ht="12.75">
      <c r="B40" s="427" t="s">
        <v>169</v>
      </c>
      <c r="D40" t="s">
        <v>163</v>
      </c>
      <c r="F40" s="422">
        <v>10000</v>
      </c>
    </row>
    <row r="41" spans="2:6" ht="12.75">
      <c r="B41" s="427" t="s">
        <v>562</v>
      </c>
      <c r="D41" t="s">
        <v>163</v>
      </c>
      <c r="F41" s="422">
        <v>5000</v>
      </c>
    </row>
    <row r="43" spans="2:10" s="37" customFormat="1" ht="12.75">
      <c r="B43" s="428" t="s">
        <v>543</v>
      </c>
      <c r="E43" s="423"/>
      <c r="F43" s="423"/>
      <c r="H43" s="423">
        <f>SUM(F43:F49)</f>
        <v>86200</v>
      </c>
      <c r="I43" s="420">
        <f>ROUND(H43/'Notes Page'!C$10,2)</f>
        <v>37.98</v>
      </c>
      <c r="J43" s="421">
        <f>(H43/H$1)</f>
        <v>0.020419693396645438</v>
      </c>
    </row>
    <row r="44" spans="2:6" ht="25.5">
      <c r="B44" s="427" t="s">
        <v>551</v>
      </c>
      <c r="C44">
        <v>13</v>
      </c>
      <c r="D44" t="s">
        <v>568</v>
      </c>
      <c r="E44" s="422">
        <v>3500</v>
      </c>
      <c r="F44" s="422">
        <f aca="true" t="shared" si="2" ref="F44:F49">C44*E44</f>
        <v>45500</v>
      </c>
    </row>
    <row r="45" spans="2:6" ht="12.75">
      <c r="B45" s="427" t="s">
        <v>552</v>
      </c>
      <c r="C45">
        <v>13</v>
      </c>
      <c r="D45" t="s">
        <v>568</v>
      </c>
      <c r="E45" s="422">
        <v>1550</v>
      </c>
      <c r="F45" s="422">
        <f t="shared" si="2"/>
        <v>20150</v>
      </c>
    </row>
    <row r="46" spans="2:6" ht="12.75">
      <c r="B46" s="427" t="s">
        <v>553</v>
      </c>
      <c r="C46">
        <v>1</v>
      </c>
      <c r="D46" t="s">
        <v>568</v>
      </c>
      <c r="E46" s="422">
        <v>650</v>
      </c>
      <c r="F46" s="422">
        <f t="shared" si="2"/>
        <v>650</v>
      </c>
    </row>
    <row r="47" spans="2:6" ht="12.75">
      <c r="B47" s="427" t="s">
        <v>328</v>
      </c>
      <c r="C47">
        <v>9</v>
      </c>
      <c r="D47" t="s">
        <v>554</v>
      </c>
      <c r="E47" s="422">
        <v>150</v>
      </c>
      <c r="F47" s="422">
        <f t="shared" si="2"/>
        <v>1350</v>
      </c>
    </row>
    <row r="48" spans="2:6" ht="12.75">
      <c r="B48" s="427" t="s">
        <v>329</v>
      </c>
      <c r="C48">
        <v>7</v>
      </c>
      <c r="D48" t="s">
        <v>554</v>
      </c>
      <c r="E48" s="422">
        <v>150</v>
      </c>
      <c r="F48" s="422">
        <f t="shared" si="2"/>
        <v>1050</v>
      </c>
    </row>
    <row r="49" spans="2:6" ht="12.75">
      <c r="B49" s="427" t="s">
        <v>330</v>
      </c>
      <c r="C49">
        <v>70</v>
      </c>
      <c r="D49" t="s">
        <v>554</v>
      </c>
      <c r="E49" s="422">
        <v>250</v>
      </c>
      <c r="F49" s="422">
        <f t="shared" si="2"/>
        <v>17500</v>
      </c>
    </row>
    <row r="51" spans="2:10" s="37" customFormat="1" ht="25.5">
      <c r="B51" s="428" t="s">
        <v>548</v>
      </c>
      <c r="E51" s="423"/>
      <c r="F51" s="423"/>
      <c r="H51" s="423">
        <f>SUM(F51:F60)</f>
        <v>720120</v>
      </c>
      <c r="I51" s="420">
        <f>ROUND(H51/'Notes Page'!C$10,2)</f>
        <v>317.29</v>
      </c>
      <c r="J51" s="421">
        <f>(H51/H$1)</f>
        <v>0.17058735045002682</v>
      </c>
    </row>
    <row r="52" spans="2:6" ht="25.5">
      <c r="B52" s="427" t="s">
        <v>581</v>
      </c>
      <c r="C52">
        <v>1570</v>
      </c>
      <c r="D52" t="s">
        <v>53</v>
      </c>
      <c r="E52" s="422">
        <v>185</v>
      </c>
      <c r="F52" s="422">
        <f aca="true" t="shared" si="3" ref="F52:F60">C52*E52</f>
        <v>290450</v>
      </c>
    </row>
    <row r="53" spans="2:6" ht="12.75">
      <c r="B53" s="427" t="s">
        <v>563</v>
      </c>
      <c r="C53">
        <v>4</v>
      </c>
      <c r="D53" t="s">
        <v>568</v>
      </c>
      <c r="E53" s="422">
        <v>2500</v>
      </c>
      <c r="F53" s="422">
        <f t="shared" si="3"/>
        <v>10000</v>
      </c>
    </row>
    <row r="54" spans="2:6" ht="12.75">
      <c r="B54" s="427" t="s">
        <v>347</v>
      </c>
      <c r="C54">
        <v>49</v>
      </c>
      <c r="D54" t="s">
        <v>568</v>
      </c>
      <c r="E54" s="422">
        <v>650</v>
      </c>
      <c r="F54" s="422">
        <f t="shared" si="3"/>
        <v>31850</v>
      </c>
    </row>
    <row r="55" spans="2:6" ht="12.75">
      <c r="B55" s="427" t="s">
        <v>174</v>
      </c>
      <c r="C55">
        <v>840</v>
      </c>
      <c r="D55" t="s">
        <v>53</v>
      </c>
      <c r="E55" s="422">
        <v>320</v>
      </c>
      <c r="F55" s="422">
        <f t="shared" si="3"/>
        <v>268800</v>
      </c>
    </row>
    <row r="56" spans="2:6" ht="12.75">
      <c r="B56" s="427" t="s">
        <v>564</v>
      </c>
      <c r="C56">
        <v>30</v>
      </c>
      <c r="D56" t="s">
        <v>568</v>
      </c>
      <c r="E56" s="422">
        <v>750</v>
      </c>
      <c r="F56" s="422">
        <f t="shared" si="3"/>
        <v>22500</v>
      </c>
    </row>
    <row r="57" spans="2:6" ht="25.5">
      <c r="B57" s="427" t="s">
        <v>565</v>
      </c>
      <c r="C57">
        <v>184</v>
      </c>
      <c r="D57" t="s">
        <v>53</v>
      </c>
      <c r="E57" s="422">
        <v>105</v>
      </c>
      <c r="F57" s="422">
        <f t="shared" si="3"/>
        <v>19320</v>
      </c>
    </row>
    <row r="58" spans="2:6" ht="12.75">
      <c r="B58" s="427" t="s">
        <v>348</v>
      </c>
      <c r="C58">
        <v>1</v>
      </c>
      <c r="D58" t="s">
        <v>568</v>
      </c>
      <c r="E58" s="422">
        <v>750</v>
      </c>
      <c r="F58" s="422">
        <f t="shared" si="3"/>
        <v>750</v>
      </c>
    </row>
    <row r="59" spans="2:6" ht="12.75">
      <c r="B59" s="427" t="s">
        <v>411</v>
      </c>
      <c r="C59">
        <v>29</v>
      </c>
      <c r="D59" t="s">
        <v>53</v>
      </c>
      <c r="E59" s="422">
        <v>50</v>
      </c>
      <c r="F59" s="422">
        <f t="shared" si="3"/>
        <v>1450</v>
      </c>
    </row>
    <row r="60" spans="2:6" ht="12.75">
      <c r="B60" s="427" t="s">
        <v>566</v>
      </c>
      <c r="C60">
        <v>300</v>
      </c>
      <c r="D60" t="s">
        <v>53</v>
      </c>
      <c r="E60" s="422">
        <v>250</v>
      </c>
      <c r="F60" s="422">
        <f t="shared" si="3"/>
        <v>75000</v>
      </c>
    </row>
    <row r="62" spans="2:10" s="37" customFormat="1" ht="12.75">
      <c r="B62" s="428" t="s">
        <v>510</v>
      </c>
      <c r="E62" s="423"/>
      <c r="F62" s="423"/>
      <c r="H62" s="423">
        <f>SUM(F62:F66)</f>
        <v>106165</v>
      </c>
      <c r="I62" s="420">
        <f>ROUND(H62/'Notes Page'!C$10,2)</f>
        <v>46.78</v>
      </c>
      <c r="J62" s="421">
        <f>(H62/H$1)</f>
        <v>0.025149150225694465</v>
      </c>
    </row>
    <row r="63" spans="2:6" ht="12.75">
      <c r="B63" s="427" t="s">
        <v>175</v>
      </c>
      <c r="C63">
        <v>660</v>
      </c>
      <c r="D63" t="s">
        <v>53</v>
      </c>
      <c r="E63" s="422">
        <v>65</v>
      </c>
      <c r="F63" s="422">
        <f>C63*E63</f>
        <v>42900</v>
      </c>
    </row>
    <row r="64" spans="2:6" ht="12.75">
      <c r="B64" s="427" t="s">
        <v>235</v>
      </c>
      <c r="C64">
        <v>105</v>
      </c>
      <c r="D64" t="s">
        <v>53</v>
      </c>
      <c r="E64" s="422">
        <v>65</v>
      </c>
      <c r="F64" s="422">
        <f>C64*E64</f>
        <v>6825</v>
      </c>
    </row>
    <row r="65" spans="2:6" ht="12.75">
      <c r="B65" s="427" t="s">
        <v>176</v>
      </c>
      <c r="C65">
        <v>1315</v>
      </c>
      <c r="D65" t="s">
        <v>53</v>
      </c>
      <c r="E65" s="422">
        <v>40</v>
      </c>
      <c r="F65" s="422">
        <f>C65*E65</f>
        <v>52600</v>
      </c>
    </row>
    <row r="66" spans="2:6" ht="25.5">
      <c r="B66" s="427" t="s">
        <v>179</v>
      </c>
      <c r="C66">
        <v>640</v>
      </c>
      <c r="D66" t="s">
        <v>53</v>
      </c>
      <c r="E66" s="422">
        <v>6</v>
      </c>
      <c r="F66" s="422">
        <f>C66*E66</f>
        <v>3840</v>
      </c>
    </row>
    <row r="68" spans="2:10" s="37" customFormat="1" ht="12.75">
      <c r="B68" s="428" t="s">
        <v>511</v>
      </c>
      <c r="E68" s="423"/>
      <c r="F68" s="423"/>
      <c r="H68" s="423">
        <f>SUM(F68:F73)</f>
        <v>57300</v>
      </c>
      <c r="I68" s="420">
        <f>ROUND(H68/'Notes Page'!C$10,2)</f>
        <v>25.25</v>
      </c>
      <c r="J68" s="421">
        <f>(H68/H$1)</f>
        <v>0.013573647698698186</v>
      </c>
    </row>
    <row r="69" ht="12.75">
      <c r="B69" s="427" t="s">
        <v>567</v>
      </c>
    </row>
    <row r="70" spans="2:6" ht="12.75">
      <c r="B70" s="427" t="s">
        <v>181</v>
      </c>
      <c r="C70">
        <v>150</v>
      </c>
      <c r="D70" t="s">
        <v>568</v>
      </c>
      <c r="E70" s="422">
        <v>350</v>
      </c>
      <c r="F70" s="422">
        <f>C70*E70</f>
        <v>52500</v>
      </c>
    </row>
    <row r="71" spans="2:6" ht="12.75">
      <c r="B71" s="427" t="s">
        <v>182</v>
      </c>
      <c r="C71">
        <v>4</v>
      </c>
      <c r="D71" t="s">
        <v>568</v>
      </c>
      <c r="E71" s="422">
        <v>450</v>
      </c>
      <c r="F71" s="422">
        <f>C71*E71</f>
        <v>1800</v>
      </c>
    </row>
    <row r="72" spans="2:6" ht="12.75">
      <c r="B72" s="427" t="s">
        <v>550</v>
      </c>
      <c r="C72">
        <v>4</v>
      </c>
      <c r="D72" t="s">
        <v>568</v>
      </c>
      <c r="E72" s="422">
        <v>750</v>
      </c>
      <c r="F72" s="422">
        <f>C72*E72</f>
        <v>3000</v>
      </c>
    </row>
    <row r="74" spans="2:10" s="37" customFormat="1" ht="12.75">
      <c r="B74" s="428" t="s">
        <v>512</v>
      </c>
      <c r="E74" s="423"/>
      <c r="F74" s="423"/>
      <c r="H74" s="423">
        <f>SUM(F74:F79)</f>
        <v>63950</v>
      </c>
      <c r="I74" s="420">
        <f>ROUND(H74/'Notes Page'!C$10,2)</f>
        <v>28.18</v>
      </c>
      <c r="J74" s="421">
        <f>(H74/H$1)</f>
        <v>0.015148948871409232</v>
      </c>
    </row>
    <row r="75" spans="2:6" ht="12.75">
      <c r="B75" s="427" t="s">
        <v>184</v>
      </c>
      <c r="C75">
        <v>1580</v>
      </c>
      <c r="D75" t="s">
        <v>53</v>
      </c>
      <c r="E75" s="422">
        <v>13</v>
      </c>
      <c r="F75" s="422">
        <f>C75*E75</f>
        <v>20540</v>
      </c>
    </row>
    <row r="76" spans="2:6" ht="12.75">
      <c r="B76" s="427" t="s">
        <v>175</v>
      </c>
      <c r="C76">
        <v>1320</v>
      </c>
      <c r="D76" t="s">
        <v>53</v>
      </c>
      <c r="E76" s="422">
        <v>13</v>
      </c>
      <c r="F76" s="422">
        <f>C76*E76</f>
        <v>17160</v>
      </c>
    </row>
    <row r="77" spans="2:6" ht="12.75">
      <c r="B77" s="427" t="s">
        <v>185</v>
      </c>
      <c r="C77">
        <v>2630</v>
      </c>
      <c r="D77" t="s">
        <v>53</v>
      </c>
      <c r="E77" s="422">
        <v>5</v>
      </c>
      <c r="F77" s="422">
        <f>C77*E77</f>
        <v>13150</v>
      </c>
    </row>
    <row r="78" spans="2:6" ht="12.75">
      <c r="B78" s="427" t="s">
        <v>235</v>
      </c>
      <c r="C78">
        <v>100</v>
      </c>
      <c r="D78" t="s">
        <v>53</v>
      </c>
      <c r="E78" s="422">
        <v>11</v>
      </c>
      <c r="F78" s="422">
        <f>C78*E78</f>
        <v>1100</v>
      </c>
    </row>
    <row r="79" spans="2:6" ht="12.75">
      <c r="B79" s="427" t="s">
        <v>186</v>
      </c>
      <c r="C79">
        <v>480</v>
      </c>
      <c r="D79" t="s">
        <v>53</v>
      </c>
      <c r="E79" s="422">
        <v>25</v>
      </c>
      <c r="F79" s="422">
        <f>C79*E79</f>
        <v>12000</v>
      </c>
    </row>
    <row r="81" spans="2:10" s="37" customFormat="1" ht="12.75">
      <c r="B81" s="428" t="s">
        <v>513</v>
      </c>
      <c r="E81" s="423"/>
      <c r="F81" s="423"/>
      <c r="H81" s="423">
        <f>SUM(F81:F86)</f>
        <v>124310</v>
      </c>
      <c r="I81" s="420">
        <f>ROUND(H81/'Notes Page'!C$10,2)</f>
        <v>54.77</v>
      </c>
      <c r="J81" s="421">
        <f>(H81/H$1)</f>
        <v>0.02944747199694889</v>
      </c>
    </row>
    <row r="82" spans="2:6" ht="25.5">
      <c r="B82" s="427" t="s">
        <v>569</v>
      </c>
      <c r="C82">
        <v>2260</v>
      </c>
      <c r="D82" t="s">
        <v>53</v>
      </c>
      <c r="E82" s="422">
        <v>44</v>
      </c>
      <c r="F82" s="422">
        <f>C82*E82</f>
        <v>99440</v>
      </c>
    </row>
    <row r="83" spans="2:6" ht="12.75">
      <c r="B83" s="427" t="s">
        <v>570</v>
      </c>
      <c r="C83">
        <v>320</v>
      </c>
      <c r="D83" t="s">
        <v>53</v>
      </c>
      <c r="E83" s="422">
        <v>35</v>
      </c>
      <c r="F83" s="422">
        <f>C83*E83</f>
        <v>11200</v>
      </c>
    </row>
    <row r="84" spans="2:6" ht="12.75">
      <c r="B84" s="427" t="s">
        <v>242</v>
      </c>
      <c r="C84">
        <v>370</v>
      </c>
      <c r="D84" t="s">
        <v>53</v>
      </c>
      <c r="E84" s="422">
        <v>20</v>
      </c>
      <c r="F84" s="422">
        <f>C84*E84</f>
        <v>7400</v>
      </c>
    </row>
    <row r="85" spans="2:6" ht="12.75">
      <c r="B85" s="427" t="s">
        <v>547</v>
      </c>
      <c r="C85">
        <v>310</v>
      </c>
      <c r="D85" t="s">
        <v>53</v>
      </c>
      <c r="E85" s="422">
        <v>12</v>
      </c>
      <c r="F85" s="422">
        <f>C85*E85</f>
        <v>3720</v>
      </c>
    </row>
    <row r="86" spans="2:6" ht="12.75">
      <c r="B86" s="427" t="s">
        <v>245</v>
      </c>
      <c r="C86">
        <v>150</v>
      </c>
      <c r="D86" t="s">
        <v>53</v>
      </c>
      <c r="E86" s="422">
        <v>17</v>
      </c>
      <c r="F86" s="422">
        <f>C86*E86</f>
        <v>2550</v>
      </c>
    </row>
    <row r="88" spans="2:10" s="37" customFormat="1" ht="12.75">
      <c r="B88" s="428" t="s">
        <v>514</v>
      </c>
      <c r="E88" s="423"/>
      <c r="F88" s="423"/>
      <c r="H88" s="423">
        <f>SUM(F87:F91)</f>
        <v>50000</v>
      </c>
      <c r="I88" s="420">
        <f>ROUND(H88/'Notes Page'!C$10,2)</f>
        <v>22.03</v>
      </c>
      <c r="J88" s="421">
        <f>(H88/H$1)</f>
        <v>0.011844369719631924</v>
      </c>
    </row>
    <row r="89" spans="2:6" ht="12.75">
      <c r="B89" s="427" t="s">
        <v>194</v>
      </c>
      <c r="C89">
        <v>2260</v>
      </c>
      <c r="D89" t="s">
        <v>53</v>
      </c>
      <c r="E89" s="422">
        <v>20</v>
      </c>
      <c r="F89" s="422">
        <f>C89*E89</f>
        <v>45200</v>
      </c>
    </row>
    <row r="90" spans="2:6" ht="25.5">
      <c r="B90" s="427" t="s">
        <v>369</v>
      </c>
      <c r="C90">
        <v>320</v>
      </c>
      <c r="D90" t="s">
        <v>53</v>
      </c>
      <c r="E90" s="422">
        <v>15</v>
      </c>
      <c r="F90" s="422">
        <f>C90*E90</f>
        <v>4800</v>
      </c>
    </row>
    <row r="91" ht="12.75">
      <c r="B91" s="427" t="s">
        <v>370</v>
      </c>
    </row>
    <row r="93" spans="2:10" s="37" customFormat="1" ht="12.75">
      <c r="B93" s="428" t="s">
        <v>515</v>
      </c>
      <c r="E93" s="423"/>
      <c r="F93" s="423"/>
      <c r="H93" s="423">
        <f>SUM(F93:F102)</f>
        <v>105270</v>
      </c>
      <c r="I93" s="420">
        <f>ROUND(H93/'Notes Page'!C$10,2)</f>
        <v>46.38</v>
      </c>
      <c r="J93" s="421">
        <f>(H93/H$1)</f>
        <v>0.024937136007713055</v>
      </c>
    </row>
    <row r="94" spans="2:6" ht="12.75">
      <c r="B94" s="427" t="s">
        <v>195</v>
      </c>
      <c r="C94">
        <v>31</v>
      </c>
      <c r="D94" t="s">
        <v>568</v>
      </c>
      <c r="E94" s="422">
        <v>1480</v>
      </c>
      <c r="F94" s="422">
        <f aca="true" t="shared" si="4" ref="F94:F100">C94*E94</f>
        <v>45880</v>
      </c>
    </row>
    <row r="95" spans="2:6" ht="12.75">
      <c r="B95" s="427" t="s">
        <v>580</v>
      </c>
      <c r="C95">
        <v>11</v>
      </c>
      <c r="D95" t="s">
        <v>568</v>
      </c>
      <c r="E95" s="422">
        <v>500</v>
      </c>
      <c r="F95" s="422">
        <f t="shared" si="4"/>
        <v>5500</v>
      </c>
    </row>
    <row r="96" spans="2:6" ht="12.75">
      <c r="B96" s="427" t="s">
        <v>196</v>
      </c>
      <c r="C96">
        <v>31</v>
      </c>
      <c r="D96" t="s">
        <v>568</v>
      </c>
      <c r="E96" s="422">
        <v>450</v>
      </c>
      <c r="F96" s="422">
        <f t="shared" si="4"/>
        <v>13950</v>
      </c>
    </row>
    <row r="97" spans="2:6" ht="12.75">
      <c r="B97" s="427" t="s">
        <v>197</v>
      </c>
      <c r="C97">
        <v>31</v>
      </c>
      <c r="D97" t="s">
        <v>568</v>
      </c>
      <c r="E97" s="422">
        <v>500</v>
      </c>
      <c r="F97" s="422">
        <f t="shared" si="4"/>
        <v>15500</v>
      </c>
    </row>
    <row r="98" spans="2:6" ht="12.75">
      <c r="B98" s="427" t="s">
        <v>255</v>
      </c>
      <c r="C98">
        <v>120</v>
      </c>
      <c r="D98" t="s">
        <v>568</v>
      </c>
      <c r="E98" s="422">
        <v>15</v>
      </c>
      <c r="F98" s="422">
        <f t="shared" si="4"/>
        <v>1800</v>
      </c>
    </row>
    <row r="99" spans="2:6" ht="12.75">
      <c r="B99" s="427" t="s">
        <v>257</v>
      </c>
      <c r="C99">
        <v>11</v>
      </c>
      <c r="D99" t="s">
        <v>568</v>
      </c>
      <c r="E99" s="422">
        <v>40</v>
      </c>
      <c r="F99" s="422">
        <f t="shared" si="4"/>
        <v>440</v>
      </c>
    </row>
    <row r="100" spans="2:6" ht="12.75">
      <c r="B100" s="427" t="s">
        <v>258</v>
      </c>
      <c r="C100">
        <v>3</v>
      </c>
      <c r="D100" t="s">
        <v>568</v>
      </c>
      <c r="E100" s="422">
        <v>900</v>
      </c>
      <c r="F100" s="422">
        <f t="shared" si="4"/>
        <v>2700</v>
      </c>
    </row>
    <row r="101" spans="2:6" ht="25.5">
      <c r="B101" s="427" t="s">
        <v>549</v>
      </c>
      <c r="D101" t="s">
        <v>163</v>
      </c>
      <c r="F101" s="422">
        <v>19500</v>
      </c>
    </row>
    <row r="103" spans="2:10" s="37" customFormat="1" ht="12.75">
      <c r="B103" s="428" t="s">
        <v>516</v>
      </c>
      <c r="E103" s="423"/>
      <c r="F103" s="423"/>
      <c r="H103" s="423">
        <f>SUM(F104:F106)</f>
        <v>28350</v>
      </c>
      <c r="I103" s="420">
        <f>ROUND(H103/'Notes Page'!C$10,2)</f>
        <v>12.49</v>
      </c>
      <c r="J103" s="421">
        <f>(H103/H$1)</f>
        <v>0.006715757631031301</v>
      </c>
    </row>
    <row r="104" spans="2:6" ht="12.75">
      <c r="B104" s="427" t="s">
        <v>259</v>
      </c>
      <c r="C104">
        <v>32</v>
      </c>
      <c r="D104" t="s">
        <v>568</v>
      </c>
      <c r="E104" s="422">
        <v>300</v>
      </c>
      <c r="F104" s="422">
        <f>C104*E104</f>
        <v>9600</v>
      </c>
    </row>
    <row r="105" spans="2:6" ht="12.75">
      <c r="B105" s="427" t="s">
        <v>199</v>
      </c>
      <c r="C105">
        <v>32</v>
      </c>
      <c r="D105" t="s">
        <v>568</v>
      </c>
      <c r="E105" s="422">
        <v>150</v>
      </c>
      <c r="F105" s="422">
        <f>C105*E105</f>
        <v>4800</v>
      </c>
    </row>
    <row r="106" spans="2:6" ht="12.75">
      <c r="B106" s="427" t="s">
        <v>200</v>
      </c>
      <c r="C106">
        <v>31</v>
      </c>
      <c r="D106" t="s">
        <v>568</v>
      </c>
      <c r="E106" s="422">
        <v>450</v>
      </c>
      <c r="F106" s="422">
        <f>C106*E106</f>
        <v>13950</v>
      </c>
    </row>
    <row r="108" spans="2:10" s="37" customFormat="1" ht="12.75">
      <c r="B108" s="428" t="s">
        <v>517</v>
      </c>
      <c r="E108" s="423"/>
      <c r="F108" s="423"/>
      <c r="H108" s="423">
        <f>SUM(F108:F110)</f>
        <v>43130</v>
      </c>
      <c r="I108" s="420">
        <f>ROUND(H108/'Notes Page'!C$10,2)</f>
        <v>19</v>
      </c>
      <c r="J108" s="421">
        <f>(H108/H$1)</f>
        <v>0.010216953320154498</v>
      </c>
    </row>
    <row r="109" spans="2:6" ht="25.5">
      <c r="B109" s="427" t="s">
        <v>578</v>
      </c>
      <c r="C109">
        <v>2270</v>
      </c>
      <c r="D109" t="s">
        <v>53</v>
      </c>
      <c r="E109" s="422">
        <v>19</v>
      </c>
      <c r="F109" s="422">
        <f>C109*E109</f>
        <v>43130</v>
      </c>
    </row>
    <row r="110" ht="12.75">
      <c r="D110" s="37"/>
    </row>
    <row r="111" spans="2:10" s="37" customFormat="1" ht="12.75">
      <c r="B111" s="428" t="s">
        <v>518</v>
      </c>
      <c r="E111" s="423"/>
      <c r="F111" s="423"/>
      <c r="H111" s="423">
        <f>SUM(F111:F113)</f>
        <v>61290</v>
      </c>
      <c r="I111" s="420">
        <f>ROUND(H111/'Notes Page'!C$10,2)</f>
        <v>27</v>
      </c>
      <c r="J111" s="421">
        <f>(H111/H$1)</f>
        <v>0.014518828402324813</v>
      </c>
    </row>
    <row r="112" spans="2:10" s="37" customFormat="1" ht="12.75">
      <c r="B112" s="427" t="s">
        <v>579</v>
      </c>
      <c r="C112">
        <v>2270</v>
      </c>
      <c r="D112" t="s">
        <v>53</v>
      </c>
      <c r="E112" s="422">
        <v>27</v>
      </c>
      <c r="F112" s="422">
        <f>C112*E112</f>
        <v>61290</v>
      </c>
      <c r="H112" s="423"/>
      <c r="I112" s="420"/>
      <c r="J112" s="421"/>
    </row>
    <row r="114" spans="2:10" s="37" customFormat="1" ht="12.75">
      <c r="B114" s="428" t="s">
        <v>519</v>
      </c>
      <c r="E114" s="423"/>
      <c r="F114" s="423"/>
      <c r="H114" s="423">
        <f>SUM(F114:F115)</f>
        <v>170250</v>
      </c>
      <c r="I114" s="420">
        <f>ROUND(H114/'Notes Page'!C$10,2)</f>
        <v>75.01</v>
      </c>
      <c r="J114" s="421">
        <f>(H114/H$1)</f>
        <v>0.040330078895346705</v>
      </c>
    </row>
    <row r="115" spans="2:6" ht="12.75">
      <c r="B115" s="427" t="s">
        <v>579</v>
      </c>
      <c r="C115">
        <v>2270</v>
      </c>
      <c r="D115" t="s">
        <v>53</v>
      </c>
      <c r="E115" s="422">
        <v>75</v>
      </c>
      <c r="F115" s="422">
        <f>C115*E115</f>
        <v>170250</v>
      </c>
    </row>
    <row r="117" spans="2:10" s="37" customFormat="1" ht="12.75">
      <c r="B117" s="428" t="s">
        <v>520</v>
      </c>
      <c r="E117" s="423"/>
      <c r="F117" s="423"/>
      <c r="H117" s="423">
        <f>SUM(F117:F118)</f>
        <v>18900</v>
      </c>
      <c r="I117" s="420">
        <f>ROUND(H117/'Notes Page'!C$10,2)</f>
        <v>8.33</v>
      </c>
      <c r="J117" s="421">
        <f>(H117/H$1)</f>
        <v>0.004477171754020868</v>
      </c>
    </row>
    <row r="118" spans="2:6" ht="12.75">
      <c r="B118" s="427" t="s">
        <v>260</v>
      </c>
      <c r="C118">
        <f>31+32</f>
        <v>63</v>
      </c>
      <c r="D118" t="s">
        <v>568</v>
      </c>
      <c r="E118" s="422">
        <v>300</v>
      </c>
      <c r="F118" s="422">
        <f>C118*E118</f>
        <v>18900</v>
      </c>
    </row>
    <row r="120" spans="2:10" s="37" customFormat="1" ht="12.75">
      <c r="B120" s="428" t="s">
        <v>521</v>
      </c>
      <c r="E120" s="423"/>
      <c r="F120" s="423"/>
      <c r="H120" s="423">
        <f>SUM(F120:F122)</f>
        <v>147550</v>
      </c>
      <c r="I120" s="420">
        <f>ROUND(H120/'Notes Page'!C$10,2)</f>
        <v>65.01</v>
      </c>
      <c r="J120" s="421">
        <f>(H120/H$1)</f>
        <v>0.03495273504263381</v>
      </c>
    </row>
    <row r="121" spans="2:6" ht="12.75">
      <c r="B121" s="427" t="s">
        <v>579</v>
      </c>
      <c r="C121">
        <v>2270</v>
      </c>
      <c r="D121" t="s">
        <v>53</v>
      </c>
      <c r="E121" s="422">
        <v>65</v>
      </c>
      <c r="F121" s="422">
        <f>C121*E121</f>
        <v>147550</v>
      </c>
    </row>
    <row r="123" spans="2:10" s="37" customFormat="1" ht="12.75">
      <c r="B123" s="428" t="s">
        <v>522</v>
      </c>
      <c r="E123" s="423"/>
      <c r="F123" s="423"/>
      <c r="H123" s="423">
        <f>SUM(F123:F125)</f>
        <v>0</v>
      </c>
      <c r="I123" s="420">
        <f>ROUND(H123/'Notes Page'!C$10,2)</f>
        <v>0</v>
      </c>
      <c r="J123" s="421">
        <f>(H123/H$1)</f>
        <v>0</v>
      </c>
    </row>
    <row r="124" spans="2:6" ht="25.5">
      <c r="B124" s="427" t="s">
        <v>577</v>
      </c>
      <c r="F124" s="422">
        <v>0</v>
      </c>
    </row>
    <row r="126" spans="2:10" s="37" customFormat="1" ht="12.75">
      <c r="B126" s="428" t="s">
        <v>544</v>
      </c>
      <c r="E126" s="423"/>
      <c r="F126" s="423"/>
      <c r="H126" s="423">
        <f>SUM(F126:F127)</f>
        <v>45000</v>
      </c>
      <c r="I126" s="420">
        <f>ROUND(H126/'Notes Page'!C$10,2)</f>
        <v>19.83</v>
      </c>
      <c r="J126" s="421">
        <f>(H126/H$1)</f>
        <v>0.010659932747668731</v>
      </c>
    </row>
    <row r="127" spans="2:6" ht="12.75">
      <c r="B127" s="427" t="s">
        <v>251</v>
      </c>
      <c r="C127">
        <v>1</v>
      </c>
      <c r="D127" t="s">
        <v>568</v>
      </c>
      <c r="E127" s="422">
        <v>45000</v>
      </c>
      <c r="F127" s="422">
        <f>C127*E127</f>
        <v>45000</v>
      </c>
    </row>
    <row r="129" spans="2:10" s="37" customFormat="1" ht="12.75">
      <c r="B129" s="428" t="s">
        <v>545</v>
      </c>
      <c r="E129" s="423"/>
      <c r="F129" s="423"/>
      <c r="H129" s="423">
        <f>SUM(F130:F132)</f>
        <v>20150</v>
      </c>
      <c r="I129" s="420">
        <f>ROUND(H129/'Notes Page'!C$10,2)</f>
        <v>8.88</v>
      </c>
      <c r="J129" s="421">
        <f>(H129/H$1)</f>
        <v>0.0047732809970116655</v>
      </c>
    </row>
    <row r="130" spans="2:6" ht="12.75">
      <c r="B130" s="427" t="s">
        <v>261</v>
      </c>
      <c r="C130">
        <v>31</v>
      </c>
      <c r="D130" t="s">
        <v>568</v>
      </c>
      <c r="E130" s="422">
        <v>350</v>
      </c>
      <c r="F130" s="422">
        <f>C130*E130</f>
        <v>10850</v>
      </c>
    </row>
    <row r="131" spans="2:6" ht="12.75">
      <c r="B131" s="427" t="s">
        <v>262</v>
      </c>
      <c r="C131">
        <v>31</v>
      </c>
      <c r="D131" t="s">
        <v>568</v>
      </c>
      <c r="E131" s="422">
        <v>300</v>
      </c>
      <c r="F131" s="422">
        <f>C131*E131</f>
        <v>9300</v>
      </c>
    </row>
    <row r="133" spans="2:10" s="37" customFormat="1" ht="25.5">
      <c r="B133" s="428" t="s">
        <v>523</v>
      </c>
      <c r="E133" s="423"/>
      <c r="F133" s="423"/>
      <c r="H133" s="423">
        <f>SUM(F133:F135)</f>
        <v>20000</v>
      </c>
      <c r="I133" s="420">
        <f>ROUND(H133/'Notes Page'!C$10,2)</f>
        <v>8.81</v>
      </c>
      <c r="J133" s="421">
        <f>(H133/H$1)</f>
        <v>0.00473774788785277</v>
      </c>
    </row>
    <row r="134" spans="2:6" ht="12.75">
      <c r="B134" s="427" t="s">
        <v>13</v>
      </c>
      <c r="D134" t="s">
        <v>163</v>
      </c>
      <c r="F134" s="422">
        <v>20000</v>
      </c>
    </row>
    <row r="136" spans="2:10" s="37" customFormat="1" ht="12.75">
      <c r="B136" s="428" t="s">
        <v>524</v>
      </c>
      <c r="E136" s="423"/>
      <c r="F136" s="423"/>
      <c r="H136" s="423">
        <f>SUM(F136:F151)</f>
        <v>79380</v>
      </c>
      <c r="I136" s="420">
        <f>ROUND(H136/'Notes Page'!C$10,2)</f>
        <v>34.98</v>
      </c>
      <c r="J136" s="421">
        <f>(H136/H$1)</f>
        <v>0.018804121366887642</v>
      </c>
    </row>
    <row r="137" spans="2:6" ht="12.75">
      <c r="B137" s="427" t="s">
        <v>376</v>
      </c>
      <c r="C137">
        <v>100</v>
      </c>
      <c r="D137" t="s">
        <v>53</v>
      </c>
      <c r="E137" s="422">
        <v>40</v>
      </c>
      <c r="F137" s="422">
        <f aca="true" t="shared" si="5" ref="F137:F150">C137*E137</f>
        <v>4000</v>
      </c>
    </row>
    <row r="138" spans="2:6" ht="12.75">
      <c r="B138" s="427" t="s">
        <v>201</v>
      </c>
      <c r="C138">
        <v>170</v>
      </c>
      <c r="D138" t="s">
        <v>53</v>
      </c>
      <c r="E138" s="422">
        <v>30</v>
      </c>
      <c r="F138" s="422">
        <f t="shared" si="5"/>
        <v>5100</v>
      </c>
    </row>
    <row r="139" spans="2:6" ht="12.75">
      <c r="B139" s="427" t="s">
        <v>377</v>
      </c>
      <c r="C139">
        <v>3</v>
      </c>
      <c r="D139" t="s">
        <v>568</v>
      </c>
      <c r="E139" s="422">
        <v>1000</v>
      </c>
      <c r="F139" s="422">
        <f t="shared" si="5"/>
        <v>3000</v>
      </c>
    </row>
    <row r="140" spans="2:6" ht="12.75">
      <c r="B140" s="427" t="s">
        <v>378</v>
      </c>
      <c r="C140">
        <v>9</v>
      </c>
      <c r="D140" t="s">
        <v>554</v>
      </c>
      <c r="E140" s="422">
        <v>400</v>
      </c>
      <c r="F140" s="422">
        <f t="shared" si="5"/>
        <v>3600</v>
      </c>
    </row>
    <row r="141" spans="2:6" ht="12.75">
      <c r="B141" s="427" t="s">
        <v>379</v>
      </c>
      <c r="C141">
        <v>50</v>
      </c>
      <c r="D141" t="s">
        <v>554</v>
      </c>
      <c r="E141" s="422">
        <v>180</v>
      </c>
      <c r="F141" s="422">
        <f t="shared" si="5"/>
        <v>9000</v>
      </c>
    </row>
    <row r="142" spans="2:6" ht="12.75">
      <c r="B142" s="427" t="s">
        <v>380</v>
      </c>
      <c r="C142">
        <v>50</v>
      </c>
      <c r="D142" t="s">
        <v>554</v>
      </c>
      <c r="E142" s="422">
        <v>180</v>
      </c>
      <c r="F142" s="422">
        <f t="shared" si="5"/>
        <v>9000</v>
      </c>
    </row>
    <row r="143" spans="2:6" ht="12.75">
      <c r="B143" s="427" t="s">
        <v>381</v>
      </c>
      <c r="C143">
        <v>9</v>
      </c>
      <c r="D143" t="s">
        <v>568</v>
      </c>
      <c r="E143" s="422">
        <v>800</v>
      </c>
      <c r="F143" s="422">
        <f t="shared" si="5"/>
        <v>7200</v>
      </c>
    </row>
    <row r="144" spans="2:6" ht="12.75">
      <c r="B144" s="427" t="s">
        <v>382</v>
      </c>
      <c r="C144">
        <v>60</v>
      </c>
      <c r="D144" t="s">
        <v>585</v>
      </c>
      <c r="E144" s="422">
        <v>50</v>
      </c>
      <c r="F144" s="422">
        <f t="shared" si="5"/>
        <v>3000</v>
      </c>
    </row>
    <row r="145" spans="2:6" ht="12.75">
      <c r="B145" s="427" t="s">
        <v>383</v>
      </c>
      <c r="C145">
        <v>2</v>
      </c>
      <c r="D145" t="s">
        <v>568</v>
      </c>
      <c r="E145" s="422">
        <v>500</v>
      </c>
      <c r="F145" s="422">
        <f t="shared" si="5"/>
        <v>1000</v>
      </c>
    </row>
    <row r="146" spans="2:6" ht="12.75">
      <c r="B146" s="427" t="s">
        <v>202</v>
      </c>
      <c r="C146">
        <v>240</v>
      </c>
      <c r="D146" t="s">
        <v>53</v>
      </c>
      <c r="E146" s="422">
        <v>15</v>
      </c>
      <c r="F146" s="422">
        <f t="shared" si="5"/>
        <v>3600</v>
      </c>
    </row>
    <row r="147" spans="2:6" ht="12.75">
      <c r="B147" s="427" t="s">
        <v>389</v>
      </c>
      <c r="D147" t="s">
        <v>163</v>
      </c>
      <c r="F147" s="422">
        <v>2500</v>
      </c>
    </row>
    <row r="148" spans="2:6" ht="12.75">
      <c r="B148" s="427" t="s">
        <v>390</v>
      </c>
      <c r="C148">
        <v>60</v>
      </c>
      <c r="D148" t="s">
        <v>554</v>
      </c>
      <c r="E148" s="422">
        <v>125</v>
      </c>
      <c r="F148" s="422">
        <f t="shared" si="5"/>
        <v>7500</v>
      </c>
    </row>
    <row r="149" spans="2:6" ht="12.75">
      <c r="B149" s="427" t="s">
        <v>571</v>
      </c>
      <c r="C149">
        <v>1</v>
      </c>
      <c r="D149" t="s">
        <v>568</v>
      </c>
      <c r="E149" s="422">
        <v>3000</v>
      </c>
      <c r="F149" s="422">
        <f t="shared" si="5"/>
        <v>3000</v>
      </c>
    </row>
    <row r="150" spans="2:6" ht="12.75">
      <c r="B150" s="427" t="s">
        <v>572</v>
      </c>
      <c r="C150">
        <v>2</v>
      </c>
      <c r="D150" t="s">
        <v>568</v>
      </c>
      <c r="E150" s="422">
        <v>1500</v>
      </c>
      <c r="F150" s="422">
        <f t="shared" si="5"/>
        <v>3000</v>
      </c>
    </row>
    <row r="151" spans="2:6" ht="12.75">
      <c r="B151" s="427" t="s">
        <v>393</v>
      </c>
      <c r="C151">
        <v>31</v>
      </c>
      <c r="D151" t="s">
        <v>568</v>
      </c>
      <c r="E151" s="422">
        <v>480</v>
      </c>
      <c r="F151" s="422">
        <f>C151*E151</f>
        <v>14880</v>
      </c>
    </row>
    <row r="153" spans="2:10" s="37" customFormat="1" ht="12.75">
      <c r="B153" s="428" t="s">
        <v>525</v>
      </c>
      <c r="E153" s="423"/>
      <c r="F153" s="423"/>
      <c r="H153" s="423">
        <f>SUM(F153:F156)</f>
        <v>80040</v>
      </c>
      <c r="I153" s="420">
        <f>ROUND(H153/'Notes Page'!C$10,2)</f>
        <v>35.27</v>
      </c>
      <c r="J153" s="421">
        <f>(H153/H$1)</f>
        <v>0.018960467047186784</v>
      </c>
    </row>
    <row r="154" spans="2:6" ht="12.75">
      <c r="B154" s="427" t="s">
        <v>204</v>
      </c>
      <c r="C154">
        <v>2680</v>
      </c>
      <c r="D154" t="s">
        <v>53</v>
      </c>
      <c r="E154" s="422">
        <v>28</v>
      </c>
      <c r="F154" s="422">
        <f>C154*E154</f>
        <v>75040</v>
      </c>
    </row>
    <row r="155" spans="2:6" ht="12.75">
      <c r="B155" s="427" t="s">
        <v>205</v>
      </c>
      <c r="C155">
        <v>500</v>
      </c>
      <c r="D155" t="s">
        <v>53</v>
      </c>
      <c r="E155" s="422">
        <v>10</v>
      </c>
      <c r="F155" s="422">
        <f>C155*E155</f>
        <v>5000</v>
      </c>
    </row>
    <row r="157" spans="2:10" s="37" customFormat="1" ht="12.75">
      <c r="B157" s="428" t="s">
        <v>526</v>
      </c>
      <c r="C157" s="73"/>
      <c r="D157" s="73"/>
      <c r="E157" s="424"/>
      <c r="F157" s="424"/>
      <c r="H157" s="423">
        <f>SUM(F157:F162)</f>
        <v>106020</v>
      </c>
      <c r="I157" s="420">
        <f>ROUND(H157/'Notes Page'!C$10,2)</f>
        <v>46.71</v>
      </c>
      <c r="J157" s="421">
        <f>(H157/H$1)</f>
        <v>0.025114801553507534</v>
      </c>
    </row>
    <row r="158" spans="2:6" ht="12.75">
      <c r="B158" s="429" t="s">
        <v>573</v>
      </c>
      <c r="C158" s="38">
        <v>31</v>
      </c>
      <c r="D158" s="33" t="s">
        <v>568</v>
      </c>
      <c r="E158" s="426">
        <v>1500</v>
      </c>
      <c r="F158" s="425">
        <f>C158*E158</f>
        <v>46500</v>
      </c>
    </row>
    <row r="159" spans="2:6" ht="12.75">
      <c r="B159" s="429" t="s">
        <v>574</v>
      </c>
      <c r="C159" s="38">
        <v>31</v>
      </c>
      <c r="D159" s="33" t="s">
        <v>568</v>
      </c>
      <c r="E159" s="426">
        <v>170</v>
      </c>
      <c r="F159" s="425">
        <f>C159*E159</f>
        <v>5270</v>
      </c>
    </row>
    <row r="160" spans="2:6" ht="12.75">
      <c r="B160" s="429" t="s">
        <v>575</v>
      </c>
      <c r="C160" s="38">
        <v>31</v>
      </c>
      <c r="D160" s="33" t="s">
        <v>568</v>
      </c>
      <c r="E160" s="426">
        <v>1300</v>
      </c>
      <c r="F160" s="425">
        <f>C160*E160</f>
        <v>40300</v>
      </c>
    </row>
    <row r="161" spans="2:6" ht="12.75">
      <c r="B161" s="429" t="s">
        <v>576</v>
      </c>
      <c r="C161" s="38">
        <v>31</v>
      </c>
      <c r="D161" s="33" t="s">
        <v>568</v>
      </c>
      <c r="E161" s="426">
        <v>100</v>
      </c>
      <c r="F161" s="425">
        <f>C161*E161</f>
        <v>3100</v>
      </c>
    </row>
    <row r="162" spans="2:6" ht="12.75">
      <c r="B162" s="429" t="s">
        <v>538</v>
      </c>
      <c r="C162" s="38">
        <v>31</v>
      </c>
      <c r="D162" s="33" t="s">
        <v>568</v>
      </c>
      <c r="E162" s="426">
        <v>350</v>
      </c>
      <c r="F162" s="425">
        <f>C162*E162</f>
        <v>10850</v>
      </c>
    </row>
    <row r="163" spans="3:6" ht="12.75">
      <c r="C163" s="1"/>
      <c r="D163" s="1"/>
      <c r="E163" s="425"/>
      <c r="F163" s="425"/>
    </row>
    <row r="164" spans="2:10" s="37" customFormat="1" ht="12.75">
      <c r="B164" s="428" t="s">
        <v>527</v>
      </c>
      <c r="E164" s="423"/>
      <c r="F164" s="423"/>
      <c r="H164" s="423">
        <f>SUM(F164:F167)</f>
        <v>706700</v>
      </c>
      <c r="I164" s="420">
        <f>ROUND(H164/'Notes Page'!C$10,2)</f>
        <v>311.37</v>
      </c>
      <c r="J164" s="421">
        <f>(H164/H$1)</f>
        <v>0.16740832161727762</v>
      </c>
    </row>
    <row r="165" spans="2:6" ht="12.75">
      <c r="B165" s="427" t="s">
        <v>534</v>
      </c>
      <c r="F165" s="422">
        <f>ROUNDUP(523353+82000,-3)</f>
        <v>606000</v>
      </c>
    </row>
    <row r="166" spans="2:6" ht="12.75">
      <c r="B166" s="427" t="s">
        <v>535</v>
      </c>
      <c r="F166" s="422">
        <v>100700</v>
      </c>
    </row>
    <row r="168" spans="2:10" s="37" customFormat="1" ht="12.75">
      <c r="B168" s="428" t="s">
        <v>528</v>
      </c>
      <c r="E168" s="423"/>
      <c r="F168" s="423"/>
      <c r="H168" s="423">
        <f>SUM(F168:F175)</f>
        <v>254000</v>
      </c>
      <c r="I168" s="420">
        <f>ROUND(H168/'Notes Page'!C$10,2)</f>
        <v>111.91</v>
      </c>
      <c r="J168" s="421">
        <f>(H168/H$1)</f>
        <v>0.06016939817573017</v>
      </c>
    </row>
    <row r="169" spans="2:6" ht="12.75">
      <c r="B169" s="427" t="s">
        <v>584</v>
      </c>
      <c r="F169" s="422">
        <v>105000</v>
      </c>
    </row>
    <row r="170" spans="2:6" ht="12.75">
      <c r="B170" s="427" t="s">
        <v>529</v>
      </c>
      <c r="F170" s="422">
        <v>60000</v>
      </c>
    </row>
    <row r="171" spans="2:6" ht="12.75">
      <c r="B171" s="427" t="s">
        <v>533</v>
      </c>
      <c r="F171" s="422">
        <v>47000</v>
      </c>
    </row>
    <row r="172" spans="2:6" ht="12.75">
      <c r="B172" s="427" t="s">
        <v>530</v>
      </c>
      <c r="F172" s="422">
        <v>10000</v>
      </c>
    </row>
    <row r="173" spans="2:6" ht="12.75">
      <c r="B173" s="427" t="s">
        <v>532</v>
      </c>
      <c r="F173" s="422">
        <v>20000</v>
      </c>
    </row>
    <row r="174" spans="2:6" ht="12.75">
      <c r="B174" s="427" t="s">
        <v>531</v>
      </c>
      <c r="F174" s="422">
        <v>12000</v>
      </c>
    </row>
    <row r="176" spans="2:10" s="37" customFormat="1" ht="12.75">
      <c r="B176" s="428" t="s">
        <v>536</v>
      </c>
      <c r="E176" s="423"/>
      <c r="F176" s="423"/>
      <c r="H176" s="423">
        <f>SUM(F177:F181)</f>
        <v>313000</v>
      </c>
      <c r="I176" s="420">
        <f>ROUND(H176/'Notes Page'!C$10,2)</f>
        <v>137.91</v>
      </c>
      <c r="J176" s="421">
        <f>(H176/H$1)</f>
        <v>0.07414575444489585</v>
      </c>
    </row>
    <row r="177" spans="2:6" ht="12.75">
      <c r="B177" s="427" t="s">
        <v>537</v>
      </c>
      <c r="F177" s="422">
        <f>ROUND(SUM(F4:F175)*8%,-3)</f>
        <v>313000</v>
      </c>
    </row>
    <row r="180" spans="2:10" ht="12.75">
      <c r="B180" s="428" t="s">
        <v>583</v>
      </c>
      <c r="H180" s="423">
        <f>SUM(H3:H177)</f>
        <v>4221415</v>
      </c>
      <c r="I180" s="420">
        <f>ROUND(H180/'Notes Page'!C$10,2)</f>
        <v>1859.97</v>
      </c>
      <c r="J180" s="421">
        <f>(H180/H$1)</f>
        <v>1</v>
      </c>
    </row>
  </sheetData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42"/>
  <sheetViews>
    <sheetView workbookViewId="0" topLeftCell="A1">
      <selection activeCell="B6" sqref="B6:I28"/>
    </sheetView>
  </sheetViews>
  <sheetFormatPr defaultColWidth="9.140625" defaultRowHeight="12.75"/>
  <cols>
    <col min="1" max="1" width="3.7109375" style="0" customWidth="1"/>
    <col min="4" max="4" width="23.8515625" style="0" customWidth="1"/>
    <col min="5" max="5" width="5.7109375" style="0" customWidth="1"/>
    <col min="6" max="6" width="8.7109375" style="0" customWidth="1"/>
    <col min="7" max="7" width="11.140625" style="0" customWidth="1"/>
    <col min="8" max="8" width="10.140625" style="0" customWidth="1"/>
    <col min="9" max="9" width="13.140625" style="0" customWidth="1"/>
  </cols>
  <sheetData>
    <row r="1" spans="1:9" ht="12.75">
      <c r="A1" s="57" t="s">
        <v>10</v>
      </c>
      <c r="B1" s="58"/>
      <c r="C1" s="58"/>
      <c r="D1" s="59" t="s">
        <v>43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4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</row>
    <row r="5" spans="1:14" ht="12.75">
      <c r="A5" s="9"/>
      <c r="B5" s="33"/>
      <c r="C5" s="33"/>
      <c r="D5" s="33"/>
      <c r="E5" s="26"/>
      <c r="F5" s="38"/>
      <c r="G5" s="39"/>
      <c r="H5" s="41" t="s">
        <v>8</v>
      </c>
      <c r="I5" s="187"/>
      <c r="J5" s="3"/>
      <c r="K5" s="1"/>
      <c r="L5" s="1"/>
      <c r="M5" s="1"/>
      <c r="N5" s="1"/>
    </row>
    <row r="6" spans="1:14" ht="12.75">
      <c r="A6" s="9"/>
      <c r="B6" s="33" t="s">
        <v>226</v>
      </c>
      <c r="C6" s="33"/>
      <c r="D6" s="33"/>
      <c r="E6" s="26"/>
      <c r="F6" s="38">
        <v>0</v>
      </c>
      <c r="G6" s="39">
        <v>0</v>
      </c>
      <c r="H6" s="41">
        <f>I6/'BCIS Smmary'!$L$6</f>
        <v>0</v>
      </c>
      <c r="I6" s="187">
        <f aca="true" t="shared" si="0" ref="I6:I13">F6*G6</f>
        <v>0</v>
      </c>
      <c r="J6" s="3"/>
      <c r="K6" s="1"/>
      <c r="L6" s="217"/>
      <c r="M6" s="1"/>
      <c r="N6" s="1"/>
    </row>
    <row r="7" spans="1:14" ht="12.75">
      <c r="A7" s="9"/>
      <c r="B7" s="33"/>
      <c r="C7" s="33" t="s">
        <v>264</v>
      </c>
      <c r="D7" s="33"/>
      <c r="E7" s="26"/>
      <c r="F7" s="38">
        <v>0</v>
      </c>
      <c r="G7" s="39">
        <v>0</v>
      </c>
      <c r="H7" s="41">
        <f>I7/'BCIS Smmary'!$L$6</f>
        <v>0</v>
      </c>
      <c r="I7" s="187">
        <f t="shared" si="0"/>
        <v>0</v>
      </c>
      <c r="J7" s="226"/>
      <c r="K7" s="1"/>
      <c r="L7" s="217"/>
      <c r="M7" s="1"/>
      <c r="N7" s="1"/>
    </row>
    <row r="8" spans="1:14" s="37" customFormat="1" ht="12.75">
      <c r="A8" s="9"/>
      <c r="B8" s="33" t="s">
        <v>220</v>
      </c>
      <c r="C8" s="33"/>
      <c r="D8" s="33" t="s">
        <v>229</v>
      </c>
      <c r="E8" s="26" t="s">
        <v>228</v>
      </c>
      <c r="F8" s="38">
        <v>1</v>
      </c>
      <c r="G8" s="39">
        <v>10500</v>
      </c>
      <c r="H8" s="41">
        <f>I8/'BCIS Smmary'!$L$6</f>
        <v>4.626325111692706</v>
      </c>
      <c r="I8" s="187">
        <f t="shared" si="0"/>
        <v>10500</v>
      </c>
      <c r="J8" s="3"/>
      <c r="K8" s="1"/>
      <c r="L8" s="217"/>
      <c r="M8" s="1"/>
      <c r="N8" s="1"/>
    </row>
    <row r="9" spans="1:14" s="37" customFormat="1" ht="12.75">
      <c r="A9" s="9"/>
      <c r="B9" s="33"/>
      <c r="C9" s="33"/>
      <c r="D9" s="33"/>
      <c r="E9" s="26"/>
      <c r="F9" s="38">
        <v>0</v>
      </c>
      <c r="G9" s="39">
        <v>0</v>
      </c>
      <c r="H9" s="41">
        <f>I9/'BCIS Smmary'!$L$6</f>
        <v>0</v>
      </c>
      <c r="I9" s="187">
        <f t="shared" si="0"/>
        <v>0</v>
      </c>
      <c r="J9" s="3"/>
      <c r="K9" s="1"/>
      <c r="L9" s="1"/>
      <c r="M9" s="1"/>
      <c r="N9" s="1"/>
    </row>
    <row r="10" spans="1:14" s="37" customFormat="1" ht="12.75">
      <c r="A10" s="9"/>
      <c r="B10" s="33" t="s">
        <v>221</v>
      </c>
      <c r="C10" s="33"/>
      <c r="D10" s="33" t="s">
        <v>227</v>
      </c>
      <c r="E10" s="26" t="s">
        <v>228</v>
      </c>
      <c r="F10" s="38">
        <v>1</v>
      </c>
      <c r="G10" s="39">
        <v>14000</v>
      </c>
      <c r="H10" s="41">
        <f>I10/'BCIS Smmary'!$L$6</f>
        <v>6.168433482256942</v>
      </c>
      <c r="I10" s="187">
        <f t="shared" si="0"/>
        <v>14000</v>
      </c>
      <c r="J10" s="3"/>
      <c r="K10" s="217"/>
      <c r="L10" s="187"/>
      <c r="M10" s="1"/>
      <c r="N10" s="1"/>
    </row>
    <row r="11" spans="1:14" ht="12.75">
      <c r="A11" s="9"/>
      <c r="B11" s="33"/>
      <c r="C11" s="33"/>
      <c r="D11" s="33"/>
      <c r="E11" s="26"/>
      <c r="F11" s="38">
        <v>0</v>
      </c>
      <c r="G11" s="39">
        <v>0</v>
      </c>
      <c r="H11" s="41">
        <f>I11/'BCIS Smmary'!$L$6</f>
        <v>0</v>
      </c>
      <c r="I11" s="187">
        <f t="shared" si="0"/>
        <v>0</v>
      </c>
      <c r="J11" s="3"/>
      <c r="K11" s="1"/>
      <c r="L11" s="187"/>
      <c r="M11" s="1"/>
      <c r="N11" s="1"/>
    </row>
    <row r="12" spans="1:14" ht="12.75">
      <c r="A12" s="9"/>
      <c r="B12" s="33" t="s">
        <v>222</v>
      </c>
      <c r="C12" s="33"/>
      <c r="D12" s="33" t="s">
        <v>298</v>
      </c>
      <c r="E12" s="26" t="s">
        <v>228</v>
      </c>
      <c r="F12" s="38">
        <v>1</v>
      </c>
      <c r="G12" s="39">
        <v>17500</v>
      </c>
      <c r="H12" s="41">
        <f>I12/'BCIS Smmary'!$L$6</f>
        <v>7.710541852821177</v>
      </c>
      <c r="I12" s="187">
        <f t="shared" si="0"/>
        <v>17500</v>
      </c>
      <c r="J12" s="226"/>
      <c r="K12" s="1"/>
      <c r="L12" s="187"/>
      <c r="M12" s="1"/>
      <c r="N12" s="1"/>
    </row>
    <row r="13" spans="1:14" ht="12.75">
      <c r="A13" s="9"/>
      <c r="B13" s="33"/>
      <c r="C13" s="33"/>
      <c r="D13" s="33"/>
      <c r="E13" s="26"/>
      <c r="F13" s="38">
        <v>0</v>
      </c>
      <c r="G13" s="39">
        <v>0</v>
      </c>
      <c r="H13" s="41">
        <f>I13/'BCIS Smmary'!$L$6</f>
        <v>0</v>
      </c>
      <c r="I13" s="187">
        <f t="shared" si="0"/>
        <v>0</v>
      </c>
      <c r="J13" s="3"/>
      <c r="K13" s="1"/>
      <c r="L13" s="187"/>
      <c r="M13" s="1"/>
      <c r="N13" s="1"/>
    </row>
    <row r="14" spans="1:14" ht="12.75">
      <c r="A14" s="9"/>
      <c r="B14" s="33" t="s">
        <v>300</v>
      </c>
      <c r="C14" s="33"/>
      <c r="D14" s="33"/>
      <c r="E14" s="26" t="s">
        <v>228</v>
      </c>
      <c r="F14" s="38">
        <v>1</v>
      </c>
      <c r="G14" s="39">
        <v>3500</v>
      </c>
      <c r="H14" s="41">
        <f>I14/'BCIS Smmary'!$L$6</f>
        <v>1.5421083705642356</v>
      </c>
      <c r="I14" s="187">
        <f aca="true" t="shared" si="1" ref="I14:I20">F14*G14</f>
        <v>3500</v>
      </c>
      <c r="J14" s="226"/>
      <c r="K14" s="1"/>
      <c r="L14" s="187"/>
      <c r="M14" s="1"/>
      <c r="N14" s="1"/>
    </row>
    <row r="15" spans="1:14" ht="12.75">
      <c r="A15" s="9"/>
      <c r="E15" s="26"/>
      <c r="F15" s="38">
        <v>0</v>
      </c>
      <c r="G15" s="39">
        <v>0</v>
      </c>
      <c r="H15" s="41">
        <f>I15/'BCIS Smmary'!$L$6</f>
        <v>0</v>
      </c>
      <c r="I15" s="187">
        <f t="shared" si="1"/>
        <v>0</v>
      </c>
      <c r="J15" s="226"/>
      <c r="K15" s="1"/>
      <c r="L15" s="187"/>
      <c r="M15" s="1"/>
      <c r="N15" s="1"/>
    </row>
    <row r="16" spans="1:14" ht="12.75">
      <c r="A16" s="9"/>
      <c r="B16" s="33" t="s">
        <v>299</v>
      </c>
      <c r="C16" s="33"/>
      <c r="D16" s="33"/>
      <c r="E16" s="26"/>
      <c r="F16" s="38">
        <v>0</v>
      </c>
      <c r="G16" s="39">
        <v>0</v>
      </c>
      <c r="H16" s="41">
        <f>I16/'BCIS Smmary'!$L$6</f>
        <v>0</v>
      </c>
      <c r="I16" s="187">
        <f>F16*G16</f>
        <v>0</v>
      </c>
      <c r="J16" s="3"/>
      <c r="K16" s="1"/>
      <c r="L16" s="187"/>
      <c r="M16" s="1"/>
      <c r="N16" s="1"/>
    </row>
    <row r="17" spans="1:14" ht="12.75">
      <c r="A17" s="9"/>
      <c r="B17" s="33"/>
      <c r="D17" s="33"/>
      <c r="E17" s="26"/>
      <c r="F17" s="38">
        <v>0</v>
      </c>
      <c r="G17" s="39">
        <v>0</v>
      </c>
      <c r="H17" s="41">
        <f>I17/'BCIS Smmary'!$L$6</f>
        <v>0</v>
      </c>
      <c r="I17" s="187">
        <f t="shared" si="1"/>
        <v>0</v>
      </c>
      <c r="J17" s="3"/>
      <c r="K17" s="1"/>
      <c r="L17" s="187"/>
      <c r="M17" s="1"/>
      <c r="N17" s="1"/>
    </row>
    <row r="18" spans="1:14" ht="12.75">
      <c r="A18" s="9"/>
      <c r="B18" s="33"/>
      <c r="C18" s="33" t="s">
        <v>301</v>
      </c>
      <c r="D18" s="33"/>
      <c r="E18" s="26" t="s">
        <v>165</v>
      </c>
      <c r="F18" s="38">
        <v>1</v>
      </c>
      <c r="G18" s="39">
        <v>650</v>
      </c>
      <c r="H18" s="41">
        <f>I18/'BCIS Smmary'!$L$6</f>
        <v>0.286391554533358</v>
      </c>
      <c r="I18" s="187">
        <f t="shared" si="1"/>
        <v>650</v>
      </c>
      <c r="J18" s="3"/>
      <c r="K18" s="1"/>
      <c r="L18" s="217"/>
      <c r="M18" s="1"/>
      <c r="N18" s="1"/>
    </row>
    <row r="19" spans="1:14" ht="12.75">
      <c r="A19" s="9"/>
      <c r="C19" s="33" t="s">
        <v>302</v>
      </c>
      <c r="D19" s="33"/>
      <c r="E19" s="26" t="s">
        <v>165</v>
      </c>
      <c r="F19" s="38">
        <v>4</v>
      </c>
      <c r="G19" s="39">
        <v>1500</v>
      </c>
      <c r="H19" s="41">
        <f>I19/'BCIS Smmary'!$L$6</f>
        <v>2.6436143495386895</v>
      </c>
      <c r="I19" s="187">
        <f t="shared" si="1"/>
        <v>6000</v>
      </c>
      <c r="J19" s="226"/>
      <c r="K19" s="1"/>
      <c r="L19" s="1"/>
      <c r="M19" s="1"/>
      <c r="N19" s="1"/>
    </row>
    <row r="20" spans="1:14" ht="12.75">
      <c r="A20" s="26"/>
      <c r="B20" s="33"/>
      <c r="C20" s="33" t="s">
        <v>303</v>
      </c>
      <c r="D20" s="33"/>
      <c r="E20" s="26" t="s">
        <v>165</v>
      </c>
      <c r="F20" s="38">
        <v>2</v>
      </c>
      <c r="G20" s="39">
        <v>1500</v>
      </c>
      <c r="H20" s="41">
        <f>I20/'BCIS Smmary'!$L$6</f>
        <v>1.3218071747693447</v>
      </c>
      <c r="I20" s="187">
        <f t="shared" si="1"/>
        <v>3000</v>
      </c>
      <c r="J20" s="226"/>
      <c r="K20" s="1"/>
      <c r="L20" s="1"/>
      <c r="M20" s="1"/>
      <c r="N20" s="1"/>
    </row>
    <row r="21" spans="1:14" ht="12.75">
      <c r="A21" s="26"/>
      <c r="B21" s="33"/>
      <c r="C21" s="33" t="s">
        <v>304</v>
      </c>
      <c r="D21" s="33"/>
      <c r="E21" s="26" t="s">
        <v>165</v>
      </c>
      <c r="F21" s="38">
        <v>3</v>
      </c>
      <c r="G21" s="39">
        <v>1500</v>
      </c>
      <c r="H21" s="41">
        <f>I21/'BCIS Smmary'!$L$6</f>
        <v>1.982710762154017</v>
      </c>
      <c r="I21" s="187">
        <f aca="true" t="shared" si="2" ref="I21:I39">F21*G21</f>
        <v>4500</v>
      </c>
      <c r="J21" s="3"/>
      <c r="K21" s="1"/>
      <c r="L21" s="1"/>
      <c r="M21" s="1"/>
      <c r="N21" s="1"/>
    </row>
    <row r="22" spans="1:14" ht="12.75">
      <c r="A22" s="6"/>
      <c r="B22" s="7"/>
      <c r="C22" s="7" t="s">
        <v>305</v>
      </c>
      <c r="D22" s="7"/>
      <c r="E22" s="26" t="s">
        <v>165</v>
      </c>
      <c r="F22" s="38">
        <v>3</v>
      </c>
      <c r="G22" s="39">
        <v>1500</v>
      </c>
      <c r="H22" s="41">
        <f>I22/'BCIS Smmary'!$L$6</f>
        <v>1.982710762154017</v>
      </c>
      <c r="I22" s="187">
        <f t="shared" si="2"/>
        <v>4500</v>
      </c>
      <c r="J22" s="3"/>
      <c r="K22" s="1"/>
      <c r="L22" s="217"/>
      <c r="M22" s="1"/>
      <c r="N22" s="1"/>
    </row>
    <row r="23" spans="1:14" ht="12.75">
      <c r="A23" s="6"/>
      <c r="B23" s="7"/>
      <c r="C23" s="7" t="s">
        <v>351</v>
      </c>
      <c r="D23" s="7"/>
      <c r="E23" s="6" t="s">
        <v>228</v>
      </c>
      <c r="F23" s="8">
        <v>1</v>
      </c>
      <c r="G23" s="12">
        <v>1500</v>
      </c>
      <c r="H23" s="41">
        <f>I23/'BCIS Smmary'!$L$6</f>
        <v>0.6609035873846724</v>
      </c>
      <c r="I23" s="187">
        <f t="shared" si="2"/>
        <v>1500</v>
      </c>
      <c r="J23" s="3"/>
      <c r="K23" s="1"/>
      <c r="L23" s="1"/>
      <c r="M23" s="1"/>
      <c r="N23" s="1"/>
    </row>
    <row r="24" spans="1:14" ht="12.75">
      <c r="A24" s="6"/>
      <c r="B24" s="7" t="s">
        <v>328</v>
      </c>
      <c r="C24" s="7"/>
      <c r="D24" s="7"/>
      <c r="E24" s="6" t="s">
        <v>223</v>
      </c>
      <c r="F24" s="8">
        <v>9</v>
      </c>
      <c r="G24" s="12">
        <v>150</v>
      </c>
      <c r="H24" s="41">
        <f>I24/'BCIS Smmary'!$L$6</f>
        <v>0.5948132286462051</v>
      </c>
      <c r="I24" s="187">
        <f t="shared" si="2"/>
        <v>1350</v>
      </c>
      <c r="J24" s="3"/>
      <c r="K24" s="1"/>
      <c r="L24" s="217"/>
      <c r="M24" s="1"/>
      <c r="N24" s="1"/>
    </row>
    <row r="25" spans="1:14" ht="12.75">
      <c r="A25" s="6"/>
      <c r="B25" s="7"/>
      <c r="C25" s="7"/>
      <c r="D25" s="7"/>
      <c r="E25" s="6"/>
      <c r="F25" s="8">
        <v>0</v>
      </c>
      <c r="G25" s="12">
        <v>0</v>
      </c>
      <c r="H25" s="41">
        <f>I25/'BCIS Smmary'!$L$6</f>
        <v>0</v>
      </c>
      <c r="I25" s="187">
        <f aca="true" t="shared" si="3" ref="I25:I30">F25*G25</f>
        <v>0</v>
      </c>
      <c r="J25" s="3"/>
      <c r="K25" s="1"/>
      <c r="L25" s="1"/>
      <c r="M25" s="1"/>
      <c r="N25" s="1"/>
    </row>
    <row r="26" spans="1:14" ht="12.75">
      <c r="A26" s="6"/>
      <c r="B26" s="7" t="s">
        <v>329</v>
      </c>
      <c r="C26" s="7"/>
      <c r="D26" s="7"/>
      <c r="E26" s="6" t="s">
        <v>223</v>
      </c>
      <c r="F26" s="8">
        <v>7</v>
      </c>
      <c r="G26" s="12">
        <v>150</v>
      </c>
      <c r="H26" s="41">
        <f>I26/'BCIS Smmary'!$L$6</f>
        <v>0.4626325111692706</v>
      </c>
      <c r="I26" s="187">
        <f t="shared" si="3"/>
        <v>1050</v>
      </c>
      <c r="J26" s="3"/>
      <c r="K26" s="1"/>
      <c r="L26" s="217"/>
      <c r="M26" s="1"/>
      <c r="N26" s="1"/>
    </row>
    <row r="27" spans="1:14" ht="12.75">
      <c r="A27" s="6"/>
      <c r="B27" s="7"/>
      <c r="C27" s="7"/>
      <c r="D27" s="7"/>
      <c r="E27" s="6"/>
      <c r="F27" s="8">
        <v>0</v>
      </c>
      <c r="G27" s="12">
        <v>0</v>
      </c>
      <c r="H27" s="41">
        <f>I27/'BCIS Smmary'!$L$6</f>
        <v>0</v>
      </c>
      <c r="I27" s="187">
        <f t="shared" si="3"/>
        <v>0</v>
      </c>
      <c r="J27" s="3"/>
      <c r="K27" s="1"/>
      <c r="L27" s="1"/>
      <c r="M27" s="1"/>
      <c r="N27" s="1"/>
    </row>
    <row r="28" spans="1:14" ht="12.75">
      <c r="A28" s="6"/>
      <c r="B28" s="7" t="s">
        <v>330</v>
      </c>
      <c r="C28" s="7"/>
      <c r="D28" s="7"/>
      <c r="E28" s="6" t="s">
        <v>223</v>
      </c>
      <c r="F28" s="8">
        <v>70</v>
      </c>
      <c r="G28" s="12">
        <v>250</v>
      </c>
      <c r="H28" s="41">
        <f>I28/'BCIS Smmary'!$L$6</f>
        <v>7.710541852821177</v>
      </c>
      <c r="I28" s="187">
        <f t="shared" si="3"/>
        <v>17500</v>
      </c>
      <c r="J28" s="226"/>
      <c r="K28" s="1"/>
      <c r="L28" s="1"/>
      <c r="M28" s="1"/>
      <c r="N28" s="1"/>
    </row>
    <row r="29" spans="1:14" ht="12.75">
      <c r="A29" s="6"/>
      <c r="B29" s="7"/>
      <c r="C29" s="7"/>
      <c r="D29" s="7"/>
      <c r="E29" s="6"/>
      <c r="F29" s="8">
        <v>0</v>
      </c>
      <c r="G29" s="12">
        <v>0</v>
      </c>
      <c r="H29" s="41">
        <f>I29/'BCIS Smmary'!$L$6</f>
        <v>0</v>
      </c>
      <c r="I29" s="187">
        <f t="shared" si="3"/>
        <v>0</v>
      </c>
      <c r="J29" s="3"/>
      <c r="K29" s="1"/>
      <c r="L29" s="1"/>
      <c r="M29" s="1"/>
      <c r="N29" s="1"/>
    </row>
    <row r="30" spans="1:14" ht="12.75">
      <c r="A30" s="6"/>
      <c r="B30" s="7"/>
      <c r="C30" s="7"/>
      <c r="D30" s="7"/>
      <c r="E30" s="6"/>
      <c r="F30" s="8">
        <v>0</v>
      </c>
      <c r="G30" s="12">
        <v>0</v>
      </c>
      <c r="H30" s="41">
        <f>I30/'BCIS Smmary'!$L$6</f>
        <v>0</v>
      </c>
      <c r="I30" s="187">
        <f t="shared" si="3"/>
        <v>0</v>
      </c>
      <c r="J30" s="3"/>
      <c r="K30" s="1"/>
      <c r="L30" s="217"/>
      <c r="M30" s="217"/>
      <c r="N30" s="217"/>
    </row>
    <row r="31" spans="1:14" ht="12.75">
      <c r="A31" s="6"/>
      <c r="B31" s="7"/>
      <c r="C31" s="7"/>
      <c r="D31" s="7"/>
      <c r="E31" s="6"/>
      <c r="F31" s="8">
        <v>0</v>
      </c>
      <c r="G31" s="12">
        <v>0</v>
      </c>
      <c r="H31" s="41">
        <f>I31/'BCIS Smmary'!$L$6</f>
        <v>0</v>
      </c>
      <c r="I31" s="187">
        <f t="shared" si="2"/>
        <v>0</v>
      </c>
      <c r="J31" s="3"/>
      <c r="K31" s="1"/>
      <c r="L31" s="1"/>
      <c r="M31" s="217"/>
      <c r="N31" s="217"/>
    </row>
    <row r="32" spans="1:14" ht="12.75">
      <c r="A32" s="6"/>
      <c r="B32" s="7"/>
      <c r="C32" s="7"/>
      <c r="D32" s="7"/>
      <c r="E32" s="6"/>
      <c r="F32" s="8">
        <v>0</v>
      </c>
      <c r="G32" s="12">
        <v>0</v>
      </c>
      <c r="H32" s="41">
        <f>I32/'BCIS Smmary'!$L$6</f>
        <v>0</v>
      </c>
      <c r="I32" s="187">
        <f t="shared" si="2"/>
        <v>0</v>
      </c>
      <c r="J32" s="3"/>
      <c r="K32" s="1"/>
      <c r="L32" s="1"/>
      <c r="M32" s="217"/>
      <c r="N32" s="217"/>
    </row>
    <row r="33" spans="1:14" ht="12.75">
      <c r="A33" s="6"/>
      <c r="B33" s="7"/>
      <c r="C33" s="7"/>
      <c r="D33" s="7"/>
      <c r="E33" s="6"/>
      <c r="F33" s="8">
        <v>0</v>
      </c>
      <c r="G33" s="12">
        <v>0</v>
      </c>
      <c r="H33" s="41">
        <f>I33/'BCIS Smmary'!$L$6</f>
        <v>0</v>
      </c>
      <c r="I33" s="187">
        <f t="shared" si="2"/>
        <v>0</v>
      </c>
      <c r="J33" s="3"/>
      <c r="K33" s="1"/>
      <c r="L33" s="1"/>
      <c r="M33" s="1"/>
      <c r="N33" s="1"/>
    </row>
    <row r="34" spans="1:14" ht="12.75">
      <c r="A34" s="6"/>
      <c r="B34" s="7"/>
      <c r="C34" s="7"/>
      <c r="D34" s="7"/>
      <c r="E34" s="6"/>
      <c r="F34" s="8">
        <v>0</v>
      </c>
      <c r="G34" s="12">
        <v>0</v>
      </c>
      <c r="H34" s="41">
        <f>I34/'BCIS Smmary'!$L$6</f>
        <v>0</v>
      </c>
      <c r="I34" s="187">
        <f t="shared" si="2"/>
        <v>0</v>
      </c>
      <c r="J34" s="3"/>
      <c r="K34" s="1"/>
      <c r="L34" s="1"/>
      <c r="M34" s="1"/>
      <c r="N34" s="1"/>
    </row>
    <row r="35" spans="1:9" ht="12.75">
      <c r="A35" s="6"/>
      <c r="B35" s="7"/>
      <c r="C35" s="7"/>
      <c r="D35" s="7"/>
      <c r="E35" s="6"/>
      <c r="F35" s="8">
        <v>0</v>
      </c>
      <c r="G35" s="12">
        <v>0</v>
      </c>
      <c r="H35" s="41">
        <f>I35/'BCIS Smmary'!$L$6</f>
        <v>0</v>
      </c>
      <c r="I35" s="23">
        <f t="shared" si="2"/>
        <v>0</v>
      </c>
    </row>
    <row r="36" spans="1:9" ht="12.75">
      <c r="A36" s="6"/>
      <c r="B36" s="7"/>
      <c r="C36" s="7"/>
      <c r="D36" s="7"/>
      <c r="E36" s="6"/>
      <c r="F36" s="8">
        <v>0</v>
      </c>
      <c r="G36" s="12">
        <v>0</v>
      </c>
      <c r="H36" s="41">
        <f>I36/'BCIS Smmary'!$L$6</f>
        <v>0</v>
      </c>
      <c r="I36" s="23">
        <f t="shared" si="2"/>
        <v>0</v>
      </c>
    </row>
    <row r="37" spans="1:9" ht="12.75">
      <c r="A37" s="6"/>
      <c r="B37" s="7"/>
      <c r="C37" s="7"/>
      <c r="D37" s="7"/>
      <c r="E37" s="6"/>
      <c r="F37" s="8">
        <v>0</v>
      </c>
      <c r="G37" s="12">
        <v>0</v>
      </c>
      <c r="H37" s="41">
        <f>I37/'BCIS Smmary'!$L$6</f>
        <v>0</v>
      </c>
      <c r="I37" s="23">
        <f t="shared" si="2"/>
        <v>0</v>
      </c>
    </row>
    <row r="38" spans="1:9" ht="12.75">
      <c r="A38" s="6"/>
      <c r="B38" s="7"/>
      <c r="C38" s="7"/>
      <c r="D38" s="7"/>
      <c r="E38" s="6"/>
      <c r="F38" s="8">
        <v>0</v>
      </c>
      <c r="G38" s="12">
        <v>0</v>
      </c>
      <c r="H38" s="41">
        <f>I38/'BCIS Smmary'!$L$6</f>
        <v>0</v>
      </c>
      <c r="I38" s="23">
        <f t="shared" si="2"/>
        <v>0</v>
      </c>
    </row>
    <row r="39" spans="1:9" ht="12.75">
      <c r="A39" s="6"/>
      <c r="B39" s="7"/>
      <c r="C39" s="7"/>
      <c r="D39" s="7"/>
      <c r="E39" s="6"/>
      <c r="F39" s="8">
        <v>0</v>
      </c>
      <c r="G39" s="12">
        <v>0</v>
      </c>
      <c r="H39" s="41">
        <f>I39/'BCIS Smmary'!$L$6</f>
        <v>0</v>
      </c>
      <c r="I39" s="24">
        <f t="shared" si="2"/>
        <v>0</v>
      </c>
    </row>
    <row r="40" spans="1:9" ht="12.75">
      <c r="A40" s="18" t="s">
        <v>16</v>
      </c>
      <c r="B40" s="13"/>
      <c r="C40" s="13"/>
      <c r="D40" s="13"/>
      <c r="E40" s="18"/>
      <c r="F40" s="25"/>
      <c r="G40" s="25"/>
      <c r="H40" s="74">
        <f>I40/'BCIS Smmary'!$L$6</f>
        <v>37.693534600505814</v>
      </c>
      <c r="I40" s="31">
        <f>SUM(I4:I39)</f>
        <v>85550</v>
      </c>
    </row>
    <row r="41" spans="1:10" ht="12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printOptions/>
  <pageMargins left="0.75" right="0.75" top="1" bottom="1" header="0.5" footer="0.5"/>
  <pageSetup fitToHeight="1" fitToWidth="1" horizontalDpi="300" verticalDpi="300" orientation="portrait" paperSize="9" scale="93" r:id="rId1"/>
  <headerFooter alignWithMargins="0">
    <oddFooter>&amp;L&amp;D  &amp;T&amp;C8
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B69"/>
  <sheetViews>
    <sheetView workbookViewId="0" topLeftCell="A1">
      <selection activeCell="B6" sqref="B6:I35"/>
    </sheetView>
  </sheetViews>
  <sheetFormatPr defaultColWidth="9.140625" defaultRowHeight="12.75"/>
  <cols>
    <col min="1" max="1" width="3.7109375" style="0" customWidth="1"/>
    <col min="3" max="3" width="8.57421875" style="0" customWidth="1"/>
    <col min="4" max="4" width="28.57421875" style="0" customWidth="1"/>
    <col min="5" max="5" width="7.140625" style="0" customWidth="1"/>
    <col min="6" max="6" width="9.28125" style="0" bestFit="1" customWidth="1"/>
    <col min="7" max="7" width="12.00390625" style="0" bestFit="1" customWidth="1"/>
    <col min="8" max="8" width="11.28125" style="0" bestFit="1" customWidth="1"/>
    <col min="9" max="9" width="13.140625" style="0" customWidth="1"/>
    <col min="10" max="10" width="0" style="0" hidden="1" customWidth="1"/>
    <col min="11" max="11" width="10.28125" style="0" hidden="1" customWidth="1"/>
    <col min="12" max="12" width="0" style="0" hidden="1" customWidth="1"/>
    <col min="13" max="13" width="16.8515625" style="0" hidden="1" customWidth="1"/>
    <col min="17" max="17" width="10.8515625" style="0" customWidth="1"/>
    <col min="18" max="18" width="9.28125" style="0" bestFit="1" customWidth="1"/>
    <col min="19" max="19" width="11.421875" style="0" customWidth="1"/>
    <col min="27" max="27" width="12.28125" style="0" customWidth="1"/>
  </cols>
  <sheetData>
    <row r="1" spans="1:9" ht="12.75">
      <c r="A1" s="57" t="s">
        <v>10</v>
      </c>
      <c r="B1" s="58"/>
      <c r="C1" s="58"/>
      <c r="D1" s="59" t="s">
        <v>49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5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1" t="s">
        <v>7</v>
      </c>
      <c r="L4" s="54" t="s">
        <v>138</v>
      </c>
      <c r="N4" s="274"/>
      <c r="O4" s="275" t="s">
        <v>170</v>
      </c>
    </row>
    <row r="5" spans="1:28" ht="12.75">
      <c r="A5" s="9"/>
      <c r="B5" s="95"/>
      <c r="C5" s="33"/>
      <c r="D5" s="33"/>
      <c r="E5" s="26"/>
      <c r="F5" s="8"/>
      <c r="G5" s="12"/>
      <c r="H5" s="22"/>
      <c r="I5" s="23"/>
      <c r="K5" t="s">
        <v>137</v>
      </c>
      <c r="L5" s="94">
        <v>134.04</v>
      </c>
      <c r="M5" s="94"/>
      <c r="N5" s="242" t="s">
        <v>331</v>
      </c>
      <c r="P5" s="213" t="s">
        <v>138</v>
      </c>
      <c r="Q5" s="214" t="s">
        <v>171</v>
      </c>
      <c r="R5" s="272" t="s">
        <v>172</v>
      </c>
      <c r="S5" s="242" t="s">
        <v>334</v>
      </c>
      <c r="T5" s="213" t="s">
        <v>138</v>
      </c>
      <c r="U5" s="214" t="s">
        <v>171</v>
      </c>
      <c r="V5" s="272" t="s">
        <v>172</v>
      </c>
      <c r="X5" s="242" t="s">
        <v>335</v>
      </c>
      <c r="Z5" s="213" t="s">
        <v>138</v>
      </c>
      <c r="AA5" s="214" t="s">
        <v>171</v>
      </c>
      <c r="AB5" s="272" t="s">
        <v>172</v>
      </c>
    </row>
    <row r="6" spans="1:28" ht="12.75">
      <c r="A6" s="9"/>
      <c r="B6" s="33" t="s">
        <v>339</v>
      </c>
      <c r="C6" s="33"/>
      <c r="D6" s="33"/>
      <c r="E6" s="26" t="s">
        <v>36</v>
      </c>
      <c r="F6" s="8">
        <f>P41-W68</f>
        <v>1575.79115</v>
      </c>
      <c r="G6" s="12">
        <v>185</v>
      </c>
      <c r="H6" s="22">
        <f>I6/'BCIS Smmary'!$L$6</f>
        <v>128.44500962716228</v>
      </c>
      <c r="I6" s="23">
        <f aca="true" t="shared" si="0" ref="I6:I31">F6*G6</f>
        <v>291521.36275000003</v>
      </c>
      <c r="K6" t="s">
        <v>139</v>
      </c>
      <c r="L6" s="178">
        <v>4.25</v>
      </c>
      <c r="M6" s="94">
        <f>L5*L6</f>
        <v>569.67</v>
      </c>
      <c r="N6" s="226"/>
      <c r="O6" t="s">
        <v>220</v>
      </c>
      <c r="P6" s="183">
        <f>Areas!I15</f>
        <v>32.67</v>
      </c>
      <c r="Q6" s="183">
        <v>2.805</v>
      </c>
      <c r="R6" s="94">
        <f>P6*Q6</f>
        <v>91.63935000000001</v>
      </c>
      <c r="S6" s="217"/>
      <c r="T6" t="s">
        <v>220</v>
      </c>
      <c r="U6" s="183">
        <f>Areas!I19</f>
        <v>32.6</v>
      </c>
      <c r="V6" s="183">
        <v>2.805</v>
      </c>
      <c r="W6" s="94">
        <f>U6*V6</f>
        <v>91.44300000000001</v>
      </c>
      <c r="X6" s="217"/>
      <c r="Y6" t="s">
        <v>220</v>
      </c>
      <c r="Z6" s="183">
        <f>Areas!I23</f>
        <v>32.79</v>
      </c>
      <c r="AA6" s="183">
        <v>2.805</v>
      </c>
      <c r="AB6" s="94">
        <f>Z6*AA6</f>
        <v>91.97595</v>
      </c>
    </row>
    <row r="7" spans="2:28" ht="12.75">
      <c r="B7" s="33" t="s">
        <v>173</v>
      </c>
      <c r="C7" s="33"/>
      <c r="D7" s="33"/>
      <c r="E7" s="26"/>
      <c r="F7" s="8">
        <v>0</v>
      </c>
      <c r="G7" s="12">
        <v>0</v>
      </c>
      <c r="H7" s="22">
        <f>I7/'BCIS Smmary'!$L$6</f>
        <v>0</v>
      </c>
      <c r="I7" s="23">
        <f t="shared" si="0"/>
        <v>0</v>
      </c>
      <c r="K7" t="s">
        <v>38</v>
      </c>
      <c r="L7" s="94">
        <v>181.33</v>
      </c>
      <c r="M7" s="94"/>
      <c r="N7" s="3"/>
      <c r="O7" s="1" t="s">
        <v>221</v>
      </c>
      <c r="P7" s="183">
        <f>Areas!K15</f>
        <v>47.17</v>
      </c>
      <c r="Q7" s="94">
        <v>2.81</v>
      </c>
      <c r="R7" s="94">
        <f>P7*Q7</f>
        <v>132.54770000000002</v>
      </c>
      <c r="S7" s="1"/>
      <c r="T7" s="1" t="s">
        <v>221</v>
      </c>
      <c r="U7" s="183">
        <f>Areas!K19</f>
        <v>48.56</v>
      </c>
      <c r="V7" s="94">
        <v>2.81</v>
      </c>
      <c r="W7" s="94">
        <f>U7*V7</f>
        <v>136.45360000000002</v>
      </c>
      <c r="X7" s="1"/>
      <c r="Y7" s="1" t="s">
        <v>221</v>
      </c>
      <c r="Z7" s="183">
        <f>Areas!K23</f>
        <v>48.86</v>
      </c>
      <c r="AA7" s="94">
        <v>2.81</v>
      </c>
      <c r="AB7" s="94">
        <f>Z7*AA7</f>
        <v>137.2966</v>
      </c>
    </row>
    <row r="8" spans="1:28" ht="12.75">
      <c r="A8" s="9"/>
      <c r="B8" s="33"/>
      <c r="C8" s="33"/>
      <c r="D8" s="33"/>
      <c r="E8" s="26"/>
      <c r="F8" s="8">
        <v>0</v>
      </c>
      <c r="G8" s="12">
        <v>0</v>
      </c>
      <c r="H8" s="22">
        <f>I8/'BCIS Smmary'!$L$6</f>
        <v>0</v>
      </c>
      <c r="I8" s="23">
        <f t="shared" si="0"/>
        <v>0</v>
      </c>
      <c r="K8" t="s">
        <v>132</v>
      </c>
      <c r="L8" s="94">
        <v>173.18</v>
      </c>
      <c r="M8" s="94"/>
      <c r="N8" s="3"/>
      <c r="O8" s="29" t="s">
        <v>222</v>
      </c>
      <c r="P8" s="183">
        <f>Areas!M15</f>
        <v>47.12</v>
      </c>
      <c r="Q8" s="183">
        <v>2.81</v>
      </c>
      <c r="R8" s="94">
        <f>P8*Q8</f>
        <v>132.4072</v>
      </c>
      <c r="S8" s="1"/>
      <c r="T8" s="29" t="s">
        <v>222</v>
      </c>
      <c r="U8" s="183">
        <f>Areas!M19</f>
        <v>48.66</v>
      </c>
      <c r="V8" s="183">
        <v>2.81</v>
      </c>
      <c r="W8" s="94">
        <f>U8*V8</f>
        <v>136.7346</v>
      </c>
      <c r="X8" s="1"/>
      <c r="Y8" s="29" t="s">
        <v>222</v>
      </c>
      <c r="Z8" s="183">
        <f>Areas!M23</f>
        <v>49.08</v>
      </c>
      <c r="AA8" s="183">
        <v>2.81</v>
      </c>
      <c r="AB8" s="94">
        <f>Z8*AA8</f>
        <v>137.91479999999999</v>
      </c>
    </row>
    <row r="9" spans="1:28" ht="12.75">
      <c r="A9" s="9"/>
      <c r="B9" s="33" t="s">
        <v>230</v>
      </c>
      <c r="C9" s="33"/>
      <c r="D9" s="33"/>
      <c r="E9" s="26" t="s">
        <v>165</v>
      </c>
      <c r="F9" s="8">
        <f>AA68</f>
        <v>4</v>
      </c>
      <c r="G9" s="12">
        <v>2500</v>
      </c>
      <c r="H9" s="22">
        <f>I9/'BCIS Smmary'!$L$6</f>
        <v>4.406023915897816</v>
      </c>
      <c r="I9" s="23">
        <f t="shared" si="0"/>
        <v>10000</v>
      </c>
      <c r="K9" t="s">
        <v>133</v>
      </c>
      <c r="L9" s="94">
        <v>173.67</v>
      </c>
      <c r="M9" s="94"/>
      <c r="N9" s="3"/>
      <c r="O9" s="29" t="s">
        <v>401</v>
      </c>
      <c r="P9" s="266">
        <f>Areas!O15</f>
        <v>27.2</v>
      </c>
      <c r="R9" s="94"/>
      <c r="S9" s="1"/>
      <c r="T9" s="29" t="s">
        <v>332</v>
      </c>
      <c r="U9" s="266">
        <f>Areas!O19</f>
        <v>27.14</v>
      </c>
      <c r="W9" s="94"/>
      <c r="X9" s="1"/>
      <c r="Y9" s="29" t="s">
        <v>332</v>
      </c>
      <c r="Z9" s="266">
        <f>Areas!O23</f>
        <v>58.13</v>
      </c>
      <c r="AB9" s="94"/>
    </row>
    <row r="10" spans="1:28" ht="15">
      <c r="A10" s="9"/>
      <c r="B10" s="33"/>
      <c r="C10" s="33"/>
      <c r="D10" s="33"/>
      <c r="E10" s="26"/>
      <c r="F10" s="8">
        <v>0</v>
      </c>
      <c r="G10" s="12">
        <v>0</v>
      </c>
      <c r="H10" s="22">
        <f>I10/'BCIS Smmary'!$L$6</f>
        <v>0</v>
      </c>
      <c r="I10" s="23">
        <f t="shared" si="0"/>
        <v>0</v>
      </c>
      <c r="K10" t="s">
        <v>134</v>
      </c>
      <c r="L10" s="94">
        <v>163.57</v>
      </c>
      <c r="M10" s="94"/>
      <c r="N10" t="s">
        <v>333</v>
      </c>
      <c r="P10" s="277">
        <v>6.55</v>
      </c>
      <c r="R10" s="94"/>
      <c r="S10" s="1" t="s">
        <v>333</v>
      </c>
      <c r="U10" s="277">
        <v>6.47</v>
      </c>
      <c r="W10" s="94"/>
      <c r="X10" s="1" t="s">
        <v>333</v>
      </c>
      <c r="Z10" s="277">
        <v>9.06</v>
      </c>
      <c r="AB10" s="94"/>
    </row>
    <row r="11" spans="1:28" ht="12.75">
      <c r="A11" s="9"/>
      <c r="B11" s="33" t="s">
        <v>347</v>
      </c>
      <c r="C11" s="33"/>
      <c r="D11" s="33"/>
      <c r="E11" s="26" t="s">
        <v>165</v>
      </c>
      <c r="F11" s="8">
        <f>X68</f>
        <v>49</v>
      </c>
      <c r="G11" s="12">
        <v>650</v>
      </c>
      <c r="H11" s="22">
        <f>I11/'BCIS Smmary'!$L$6</f>
        <v>14.033186172134544</v>
      </c>
      <c r="I11" s="23">
        <f t="shared" si="0"/>
        <v>31850</v>
      </c>
      <c r="K11" t="s">
        <v>135</v>
      </c>
      <c r="L11" s="94">
        <v>162.7</v>
      </c>
      <c r="M11" s="94"/>
      <c r="P11" s="94">
        <f>P9-P10</f>
        <v>20.65</v>
      </c>
      <c r="Q11" s="183">
        <v>2.81</v>
      </c>
      <c r="R11" s="94">
        <f>P11*Q11</f>
        <v>58.0265</v>
      </c>
      <c r="S11" s="1"/>
      <c r="U11" s="94">
        <f>U9-U10</f>
        <v>20.67</v>
      </c>
      <c r="V11" s="183">
        <v>2.81</v>
      </c>
      <c r="W11" s="94">
        <f>U11*V11</f>
        <v>58.0827</v>
      </c>
      <c r="X11" s="1"/>
      <c r="Z11" s="94">
        <f>Z9-Z10</f>
        <v>49.07</v>
      </c>
      <c r="AA11" s="183">
        <v>2.81</v>
      </c>
      <c r="AB11" s="94">
        <f>Z11*AA11</f>
        <v>137.8867</v>
      </c>
    </row>
    <row r="12" spans="1:26" ht="12.75">
      <c r="A12" s="9"/>
      <c r="B12" s="33"/>
      <c r="C12" s="33"/>
      <c r="D12" s="33"/>
      <c r="E12" s="26"/>
      <c r="F12" s="8">
        <v>0</v>
      </c>
      <c r="G12" s="12">
        <v>0</v>
      </c>
      <c r="H12" s="22">
        <f>I12/'BCIS Smmary'!$L$6</f>
        <v>0</v>
      </c>
      <c r="I12" s="23">
        <f t="shared" si="0"/>
        <v>0</v>
      </c>
      <c r="L12" s="94">
        <f>SUM(L7:L11)</f>
        <v>854.45</v>
      </c>
      <c r="N12" s="3"/>
      <c r="O12" s="276" t="s">
        <v>301</v>
      </c>
      <c r="P12" s="199">
        <f>Areas!G15</f>
        <v>23.81</v>
      </c>
      <c r="S12" s="1"/>
      <c r="T12" s="276" t="s">
        <v>301</v>
      </c>
      <c r="U12" s="199">
        <f>Areas!G19</f>
        <v>31.9</v>
      </c>
      <c r="X12" s="1"/>
      <c r="Y12" s="276" t="s">
        <v>301</v>
      </c>
      <c r="Z12" s="199">
        <v>0</v>
      </c>
    </row>
    <row r="13" spans="1:26" ht="15">
      <c r="A13" s="9"/>
      <c r="B13" s="33" t="s">
        <v>174</v>
      </c>
      <c r="C13" s="33" t="s">
        <v>432</v>
      </c>
      <c r="E13" s="26" t="s">
        <v>36</v>
      </c>
      <c r="F13" s="8">
        <f>W68</f>
        <v>840.2399999999998</v>
      </c>
      <c r="G13" s="12">
        <v>300</v>
      </c>
      <c r="H13" s="22">
        <f>I13/'BCIS Smmary'!$L$6</f>
        <v>111.0635260528194</v>
      </c>
      <c r="I13" s="23">
        <f t="shared" si="0"/>
        <v>252071.99999999994</v>
      </c>
      <c r="K13" t="s">
        <v>139</v>
      </c>
      <c r="L13" s="178">
        <v>3.25</v>
      </c>
      <c r="M13" s="94">
        <f>L12*L13</f>
        <v>2776.9625</v>
      </c>
      <c r="N13" t="s">
        <v>333</v>
      </c>
      <c r="P13" s="277">
        <v>5.62</v>
      </c>
      <c r="S13" s="1" t="s">
        <v>333</v>
      </c>
      <c r="U13" s="277">
        <v>5.52</v>
      </c>
      <c r="X13" s="1" t="s">
        <v>333</v>
      </c>
      <c r="Z13" s="277">
        <v>0</v>
      </c>
    </row>
    <row r="14" spans="1:28" ht="12.75">
      <c r="A14" s="9"/>
      <c r="B14" s="33"/>
      <c r="C14" s="33"/>
      <c r="D14" s="33"/>
      <c r="E14" s="26"/>
      <c r="F14" s="8">
        <v>0</v>
      </c>
      <c r="G14" s="12">
        <v>0</v>
      </c>
      <c r="H14" s="22">
        <f>I14/'BCIS Smmary'!$L$6</f>
        <v>0</v>
      </c>
      <c r="I14" s="23">
        <f t="shared" si="0"/>
        <v>0</v>
      </c>
      <c r="J14" s="79"/>
      <c r="K14" s="79"/>
      <c r="L14" s="94"/>
      <c r="M14" s="94"/>
      <c r="N14" s="226"/>
      <c r="P14" s="94">
        <f>P12-P13</f>
        <v>18.189999999999998</v>
      </c>
      <c r="Q14" s="183">
        <v>2.81</v>
      </c>
      <c r="R14" s="94">
        <f>P14*Q14</f>
        <v>51.113899999999994</v>
      </c>
      <c r="S14" s="217"/>
      <c r="U14" s="94">
        <f>U12-U13</f>
        <v>26.38</v>
      </c>
      <c r="V14" s="183">
        <v>2.81</v>
      </c>
      <c r="W14" s="94">
        <f>U14*V14</f>
        <v>74.1278</v>
      </c>
      <c r="X14" s="217"/>
      <c r="Z14" s="94">
        <f>Z12-Z13</f>
        <v>0</v>
      </c>
      <c r="AA14" s="183">
        <v>0</v>
      </c>
      <c r="AB14" s="94">
        <f>Z14*AA14</f>
        <v>0</v>
      </c>
    </row>
    <row r="15" spans="1:24" ht="12.75">
      <c r="A15" s="9"/>
      <c r="B15" s="33"/>
      <c r="C15" s="33" t="s">
        <v>265</v>
      </c>
      <c r="D15" s="33"/>
      <c r="E15" s="26" t="s">
        <v>165</v>
      </c>
      <c r="F15" s="8">
        <f>Z68</f>
        <v>30</v>
      </c>
      <c r="G15" s="12">
        <v>750</v>
      </c>
      <c r="H15" s="22">
        <f>I15/'BCIS Smmary'!$L$6</f>
        <v>9.913553810770086</v>
      </c>
      <c r="I15" s="23">
        <f t="shared" si="0"/>
        <v>22500</v>
      </c>
      <c r="J15" s="79"/>
      <c r="K15" s="82"/>
      <c r="L15" s="94"/>
      <c r="M15" s="94"/>
      <c r="N15" s="226"/>
      <c r="S15" s="217"/>
      <c r="X15" s="217"/>
    </row>
    <row r="16" spans="1:28" ht="13.5" thickBot="1">
      <c r="A16" s="9"/>
      <c r="B16" s="33"/>
      <c r="C16" s="33"/>
      <c r="D16" s="33"/>
      <c r="E16" s="26"/>
      <c r="F16" s="8">
        <v>0</v>
      </c>
      <c r="G16" s="12">
        <v>0</v>
      </c>
      <c r="H16" s="22">
        <f>I16/'BCIS Smmary'!$L$6</f>
        <v>0</v>
      </c>
      <c r="I16" s="23">
        <f t="shared" si="0"/>
        <v>0</v>
      </c>
      <c r="N16" s="3"/>
      <c r="Q16" t="s">
        <v>136</v>
      </c>
      <c r="R16" s="278">
        <f>SUM(R6:R15)</f>
        <v>465.73465</v>
      </c>
      <c r="S16" s="3"/>
      <c r="V16" t="s">
        <v>136</v>
      </c>
      <c r="W16" s="278">
        <f>SUM(W6:W15)</f>
        <v>496.8417</v>
      </c>
      <c r="X16" s="3"/>
      <c r="AA16" t="s">
        <v>136</v>
      </c>
      <c r="AB16" s="278">
        <f>SUM(AB6:AB15)</f>
        <v>505.07405000000006</v>
      </c>
    </row>
    <row r="17" spans="1:14" ht="13.5" thickTop="1">
      <c r="A17" s="9"/>
      <c r="B17" s="95"/>
      <c r="C17" s="33" t="s">
        <v>234</v>
      </c>
      <c r="D17" s="40"/>
      <c r="E17" s="26" t="s">
        <v>165</v>
      </c>
      <c r="F17" s="8">
        <f>Y68</f>
        <v>0</v>
      </c>
      <c r="G17" s="12">
        <v>500</v>
      </c>
      <c r="H17" s="22">
        <f>I17/'BCIS Smmary'!$L$6</f>
        <v>0</v>
      </c>
      <c r="I17" s="23">
        <f t="shared" si="0"/>
        <v>0</v>
      </c>
      <c r="J17" s="79"/>
      <c r="K17" s="82"/>
      <c r="L17" s="94"/>
      <c r="M17" s="94"/>
      <c r="N17" s="226"/>
    </row>
    <row r="18" spans="1:28" ht="12.75">
      <c r="A18" s="9"/>
      <c r="B18" s="33"/>
      <c r="C18" s="40"/>
      <c r="D18" s="40"/>
      <c r="E18" s="26"/>
      <c r="F18" s="8">
        <v>0</v>
      </c>
      <c r="G18" s="12">
        <v>0</v>
      </c>
      <c r="H18" s="22">
        <f>I18/'BCIS Smmary'!$L$6</f>
        <v>0</v>
      </c>
      <c r="I18" s="23">
        <f t="shared" si="0"/>
        <v>0</v>
      </c>
      <c r="J18" s="79"/>
      <c r="K18" s="82"/>
      <c r="L18" s="94"/>
      <c r="M18" s="94"/>
      <c r="N18" s="242" t="s">
        <v>336</v>
      </c>
      <c r="P18" s="213" t="s">
        <v>138</v>
      </c>
      <c r="Q18" s="214" t="s">
        <v>171</v>
      </c>
      <c r="R18" s="272" t="s">
        <v>172</v>
      </c>
      <c r="S18" s="242" t="s">
        <v>337</v>
      </c>
      <c r="T18" s="213" t="s">
        <v>138</v>
      </c>
      <c r="U18" s="214" t="s">
        <v>171</v>
      </c>
      <c r="V18" s="272" t="s">
        <v>172</v>
      </c>
      <c r="X18" s="242" t="s">
        <v>338</v>
      </c>
      <c r="Z18" s="213" t="s">
        <v>138</v>
      </c>
      <c r="AA18" s="214" t="s">
        <v>171</v>
      </c>
      <c r="AB18" s="272" t="s">
        <v>172</v>
      </c>
    </row>
    <row r="19" spans="2:28" ht="12.75">
      <c r="B19" s="33"/>
      <c r="D19" s="33"/>
      <c r="E19" s="26"/>
      <c r="F19" s="8">
        <v>0</v>
      </c>
      <c r="G19" s="12">
        <v>0</v>
      </c>
      <c r="H19" s="22">
        <f>I19/'BCIS Smmary'!$L$6</f>
        <v>0</v>
      </c>
      <c r="I19" s="23">
        <f t="shared" si="0"/>
        <v>0</v>
      </c>
      <c r="J19" s="83"/>
      <c r="K19" s="82"/>
      <c r="L19" s="94"/>
      <c r="M19" s="94"/>
      <c r="N19" s="226"/>
      <c r="O19" t="s">
        <v>220</v>
      </c>
      <c r="P19" s="183">
        <f>Areas!I27</f>
        <v>32.57</v>
      </c>
      <c r="Q19" s="183">
        <v>2.805</v>
      </c>
      <c r="R19" s="94">
        <f>P19*Q19</f>
        <v>91.35885</v>
      </c>
      <c r="S19" s="217"/>
      <c r="T19" t="s">
        <v>220</v>
      </c>
      <c r="U19" s="183">
        <v>0</v>
      </c>
      <c r="V19" s="183">
        <v>0</v>
      </c>
      <c r="W19" s="94">
        <f>U19*V19</f>
        <v>0</v>
      </c>
      <c r="X19" s="217"/>
      <c r="Y19" t="s">
        <v>220</v>
      </c>
      <c r="Z19" s="183">
        <v>0</v>
      </c>
      <c r="AA19" s="183">
        <v>0</v>
      </c>
      <c r="AB19" s="94">
        <f>Z19*AA19</f>
        <v>0</v>
      </c>
    </row>
    <row r="20" spans="1:28" ht="12.75">
      <c r="A20" s="9"/>
      <c r="B20" s="33"/>
      <c r="C20" s="33"/>
      <c r="D20" s="33"/>
      <c r="E20" s="26"/>
      <c r="F20" s="8">
        <v>0</v>
      </c>
      <c r="G20" s="12">
        <v>0</v>
      </c>
      <c r="H20" s="22">
        <f>I20/'BCIS Smmary'!$L$6</f>
        <v>0</v>
      </c>
      <c r="I20" s="23">
        <f t="shared" si="0"/>
        <v>0</v>
      </c>
      <c r="N20" s="3"/>
      <c r="O20" s="1" t="s">
        <v>221</v>
      </c>
      <c r="P20" s="183">
        <f>Areas!K27</f>
        <v>48.94</v>
      </c>
      <c r="Q20" s="94">
        <v>2.81</v>
      </c>
      <c r="R20" s="94">
        <f>P20*Q20</f>
        <v>137.5214</v>
      </c>
      <c r="S20" s="1"/>
      <c r="T20" s="1" t="s">
        <v>221</v>
      </c>
      <c r="U20" s="183">
        <f>Areas!K31</f>
        <v>32.88</v>
      </c>
      <c r="V20" s="94">
        <v>2.81</v>
      </c>
      <c r="W20" s="94">
        <f>U20*V20</f>
        <v>92.39280000000001</v>
      </c>
      <c r="X20" s="1"/>
      <c r="Y20" s="1" t="s">
        <v>221</v>
      </c>
      <c r="Z20" s="183">
        <v>0</v>
      </c>
      <c r="AA20" s="94">
        <v>0</v>
      </c>
      <c r="AB20" s="94">
        <f>Z20*AA20</f>
        <v>0</v>
      </c>
    </row>
    <row r="21" spans="1:28" ht="12.75">
      <c r="A21" s="9"/>
      <c r="B21" t="s">
        <v>177</v>
      </c>
      <c r="E21" s="26" t="s">
        <v>36</v>
      </c>
      <c r="F21" s="8">
        <f>SUM(W34:W38)</f>
        <v>184.07999999999998</v>
      </c>
      <c r="G21" s="12">
        <v>100</v>
      </c>
      <c r="H21" s="22">
        <f>I21/'BCIS Smmary'!$L$6</f>
        <v>8.110608824384698</v>
      </c>
      <c r="I21" s="23">
        <f t="shared" si="0"/>
        <v>18408</v>
      </c>
      <c r="N21" s="3"/>
      <c r="O21" s="29" t="s">
        <v>222</v>
      </c>
      <c r="P21" s="183">
        <f>Areas!M27</f>
        <v>48.65</v>
      </c>
      <c r="Q21" s="183">
        <v>2.81</v>
      </c>
      <c r="R21" s="94">
        <f>P21*Q21</f>
        <v>136.7065</v>
      </c>
      <c r="S21" s="1"/>
      <c r="T21" s="29" t="s">
        <v>222</v>
      </c>
      <c r="U21" s="183">
        <f>Areas!M31</f>
        <v>47.32</v>
      </c>
      <c r="V21" s="183">
        <v>2.81</v>
      </c>
      <c r="W21" s="94">
        <f>U21*V21</f>
        <v>132.9692</v>
      </c>
      <c r="X21" s="1"/>
      <c r="Y21" s="29" t="s">
        <v>222</v>
      </c>
      <c r="Z21" s="183">
        <v>0</v>
      </c>
      <c r="AA21" s="183">
        <v>0</v>
      </c>
      <c r="AB21" s="94">
        <f>Z21*AA21</f>
        <v>0</v>
      </c>
    </row>
    <row r="22" spans="1:28" ht="12.75">
      <c r="A22" s="9"/>
      <c r="C22" t="s">
        <v>178</v>
      </c>
      <c r="E22" s="26"/>
      <c r="F22" s="8">
        <v>0</v>
      </c>
      <c r="G22" s="12">
        <v>0</v>
      </c>
      <c r="H22" s="22">
        <f>I22/'BCIS Smmary'!$L$6</f>
        <v>0</v>
      </c>
      <c r="I22" s="23">
        <f t="shared" si="0"/>
        <v>0</v>
      </c>
      <c r="N22" s="3"/>
      <c r="O22" s="29" t="s">
        <v>332</v>
      </c>
      <c r="P22" s="266">
        <f>Areas!O23</f>
        <v>58.13</v>
      </c>
      <c r="R22" s="94"/>
      <c r="S22" s="1"/>
      <c r="T22" s="29" t="s">
        <v>332</v>
      </c>
      <c r="U22" s="266">
        <f>Areas!O31</f>
        <v>58.33</v>
      </c>
      <c r="W22" s="94"/>
      <c r="X22" s="1"/>
      <c r="Y22" s="29" t="s">
        <v>332</v>
      </c>
      <c r="Z22" s="266">
        <f>Areas!O35</f>
        <v>28.86</v>
      </c>
      <c r="AB22" s="94"/>
    </row>
    <row r="23" spans="2:28" ht="15">
      <c r="B23" s="95"/>
      <c r="C23" s="33"/>
      <c r="D23" s="33"/>
      <c r="E23" s="26"/>
      <c r="F23" s="8">
        <v>0</v>
      </c>
      <c r="G23" s="12">
        <v>0</v>
      </c>
      <c r="H23" s="22">
        <f>I23/'BCIS Smmary'!$L$6</f>
        <v>0</v>
      </c>
      <c r="I23" s="23">
        <f t="shared" si="0"/>
        <v>0</v>
      </c>
      <c r="N23" t="s">
        <v>333</v>
      </c>
      <c r="P23" s="277">
        <v>9.06</v>
      </c>
      <c r="R23" s="94"/>
      <c r="S23" s="1" t="s">
        <v>333</v>
      </c>
      <c r="U23" s="277">
        <v>9.06</v>
      </c>
      <c r="W23" s="94"/>
      <c r="X23" s="1" t="s">
        <v>333</v>
      </c>
      <c r="Z23" s="277">
        <v>0</v>
      </c>
      <c r="AB23" s="94"/>
    </row>
    <row r="24" spans="2:28" ht="12.75">
      <c r="B24" t="s">
        <v>348</v>
      </c>
      <c r="C24" s="33"/>
      <c r="D24" s="33"/>
      <c r="E24" s="26" t="s">
        <v>165</v>
      </c>
      <c r="F24" s="8">
        <v>1</v>
      </c>
      <c r="G24" s="12">
        <v>750</v>
      </c>
      <c r="H24" s="22">
        <f>I24/'BCIS Smmary'!$L$6</f>
        <v>0.3304517936923362</v>
      </c>
      <c r="I24" s="23">
        <f t="shared" si="0"/>
        <v>750</v>
      </c>
      <c r="P24" s="94">
        <f>P22-P23</f>
        <v>49.07</v>
      </c>
      <c r="Q24" s="183">
        <v>2.81</v>
      </c>
      <c r="R24" s="94">
        <f>P24*Q24</f>
        <v>137.8867</v>
      </c>
      <c r="S24" s="1"/>
      <c r="U24" s="94">
        <f>U22-U23</f>
        <v>49.269999999999996</v>
      </c>
      <c r="V24" s="183">
        <v>2.81</v>
      </c>
      <c r="W24" s="94">
        <f>U24*V24</f>
        <v>138.4487</v>
      </c>
      <c r="X24" s="1"/>
      <c r="Z24" s="94">
        <f>Z22-Z23</f>
        <v>28.86</v>
      </c>
      <c r="AA24" s="183">
        <v>2.81</v>
      </c>
      <c r="AB24" s="94">
        <f>Z24*AA24</f>
        <v>81.0966</v>
      </c>
    </row>
    <row r="25" spans="2:26" ht="12.75">
      <c r="B25" s="33"/>
      <c r="C25" s="33"/>
      <c r="D25" s="33"/>
      <c r="E25" s="26"/>
      <c r="F25" s="8">
        <v>0</v>
      </c>
      <c r="G25" s="12">
        <v>0</v>
      </c>
      <c r="H25" s="22">
        <f>I25/'BCIS Smmary'!$L$6</f>
        <v>0</v>
      </c>
      <c r="I25" s="23">
        <f t="shared" si="0"/>
        <v>0</v>
      </c>
      <c r="N25" s="3"/>
      <c r="O25" s="276" t="s">
        <v>301</v>
      </c>
      <c r="P25" s="199">
        <v>0</v>
      </c>
      <c r="S25" s="1"/>
      <c r="T25" s="276" t="s">
        <v>301</v>
      </c>
      <c r="U25" s="199">
        <v>0</v>
      </c>
      <c r="X25" s="1"/>
      <c r="Y25" s="276" t="s">
        <v>301</v>
      </c>
      <c r="Z25" s="199">
        <v>0</v>
      </c>
    </row>
    <row r="26" spans="5:26" ht="15">
      <c r="E26" s="26"/>
      <c r="F26" s="8">
        <v>0</v>
      </c>
      <c r="G26" s="12">
        <v>0</v>
      </c>
      <c r="H26" s="22">
        <f>I26/'BCIS Smmary'!$L$6</f>
        <v>0</v>
      </c>
      <c r="I26" s="23">
        <f t="shared" si="0"/>
        <v>0</v>
      </c>
      <c r="N26" t="s">
        <v>333</v>
      </c>
      <c r="P26" s="277">
        <v>0</v>
      </c>
      <c r="S26" s="1" t="s">
        <v>333</v>
      </c>
      <c r="U26" s="277">
        <v>0</v>
      </c>
      <c r="X26" s="1" t="s">
        <v>333</v>
      </c>
      <c r="Z26" s="277">
        <v>0</v>
      </c>
    </row>
    <row r="27" spans="2:28" ht="12.75">
      <c r="B27" s="33"/>
      <c r="C27" s="33"/>
      <c r="D27" s="33"/>
      <c r="E27" s="26"/>
      <c r="F27" s="8">
        <v>0</v>
      </c>
      <c r="G27" s="12">
        <v>0</v>
      </c>
      <c r="H27" s="22">
        <f>I27/'BCIS Smmary'!$L$6</f>
        <v>0</v>
      </c>
      <c r="I27" s="23">
        <f t="shared" si="0"/>
        <v>0</v>
      </c>
      <c r="N27" s="226"/>
      <c r="P27" s="94">
        <f>P25-P26</f>
        <v>0</v>
      </c>
      <c r="Q27" s="183">
        <v>0</v>
      </c>
      <c r="R27" s="94">
        <f>P27*Q27</f>
        <v>0</v>
      </c>
      <c r="S27" s="217"/>
      <c r="U27" s="94">
        <f>U25-U26</f>
        <v>0</v>
      </c>
      <c r="V27" s="183">
        <v>0</v>
      </c>
      <c r="W27" s="94">
        <f>U27*V27</f>
        <v>0</v>
      </c>
      <c r="X27" s="217"/>
      <c r="Z27" s="94">
        <f>Z25-Z26</f>
        <v>0</v>
      </c>
      <c r="AA27" s="183">
        <v>0</v>
      </c>
      <c r="AB27" s="94">
        <f>Z27*AA27</f>
        <v>0</v>
      </c>
    </row>
    <row r="28" spans="2:24" ht="12.75">
      <c r="B28" s="33" t="s">
        <v>411</v>
      </c>
      <c r="C28" s="33"/>
      <c r="D28" s="33"/>
      <c r="E28" s="26" t="s">
        <v>36</v>
      </c>
      <c r="F28" s="8">
        <f>Areas!Q23-Areas!Q19</f>
        <v>28.09000000000009</v>
      </c>
      <c r="G28" s="12">
        <v>50</v>
      </c>
      <c r="H28" s="22">
        <f>I28/'BCIS Smmary'!$L$6</f>
        <v>0.6188260589878503</v>
      </c>
      <c r="I28" s="23">
        <f t="shared" si="0"/>
        <v>1404.5000000000045</v>
      </c>
      <c r="N28" s="226"/>
      <c r="S28" s="217"/>
      <c r="X28" s="217"/>
    </row>
    <row r="29" spans="2:28" ht="13.5" thickBot="1">
      <c r="B29" s="95"/>
      <c r="C29" s="33"/>
      <c r="D29" s="40"/>
      <c r="E29" s="26"/>
      <c r="F29" s="8">
        <v>0</v>
      </c>
      <c r="G29" s="12">
        <v>0</v>
      </c>
      <c r="H29" s="22">
        <f>I29/'BCIS Smmary'!$L$6</f>
        <v>0</v>
      </c>
      <c r="I29" s="23">
        <f t="shared" si="0"/>
        <v>0</v>
      </c>
      <c r="N29" s="3"/>
      <c r="Q29" t="s">
        <v>136</v>
      </c>
      <c r="R29" s="278">
        <f>SUM(R19:R28)</f>
        <v>503.47344999999996</v>
      </c>
      <c r="S29" s="3"/>
      <c r="V29" t="s">
        <v>136</v>
      </c>
      <c r="W29" s="278">
        <f>SUM(W19:W28)</f>
        <v>363.8107</v>
      </c>
      <c r="X29" s="3"/>
      <c r="AA29" t="s">
        <v>136</v>
      </c>
      <c r="AB29" s="278">
        <f>SUM(AB19:AB28)</f>
        <v>81.0966</v>
      </c>
    </row>
    <row r="30" spans="5:14" ht="13.5" thickTop="1">
      <c r="E30" s="26"/>
      <c r="F30" s="8">
        <v>0</v>
      </c>
      <c r="G30" s="12">
        <v>0</v>
      </c>
      <c r="H30" s="22">
        <f>I30/'BCIS Smmary'!$L$6</f>
        <v>0</v>
      </c>
      <c r="I30" s="23">
        <f t="shared" si="0"/>
        <v>0</v>
      </c>
      <c r="N30" s="226"/>
    </row>
    <row r="31" spans="2:14" ht="12.75">
      <c r="B31" t="s">
        <v>419</v>
      </c>
      <c r="E31" s="26" t="s">
        <v>420</v>
      </c>
      <c r="F31" s="8">
        <v>1</v>
      </c>
      <c r="G31" s="12">
        <v>55000</v>
      </c>
      <c r="H31" s="22">
        <f>I31/'BCIS Smmary'!$L$6</f>
        <v>24.233131537437988</v>
      </c>
      <c r="I31" s="23">
        <f t="shared" si="0"/>
        <v>55000</v>
      </c>
      <c r="N31" s="226"/>
    </row>
    <row r="32" spans="5:22" ht="12.75">
      <c r="E32" s="26"/>
      <c r="F32" s="8"/>
      <c r="G32" s="12"/>
      <c r="H32" s="22"/>
      <c r="I32" s="23"/>
      <c r="N32" s="226"/>
      <c r="O32" s="179" t="s">
        <v>170</v>
      </c>
      <c r="V32" s="179" t="s">
        <v>231</v>
      </c>
    </row>
    <row r="33" spans="5:28" ht="12.75">
      <c r="E33" s="26"/>
      <c r="F33" s="8">
        <v>0</v>
      </c>
      <c r="G33" s="12">
        <v>0</v>
      </c>
      <c r="H33" s="22">
        <f>I33/'BCIS Smmary'!$L$6</f>
        <v>0</v>
      </c>
      <c r="I33" s="23">
        <f aca="true" t="shared" si="1" ref="I33:I49">F33*G33</f>
        <v>0</v>
      </c>
      <c r="N33" s="226"/>
      <c r="S33" s="279" t="s">
        <v>331</v>
      </c>
      <c r="T33" s="180" t="s">
        <v>228</v>
      </c>
      <c r="U33" s="180" t="s">
        <v>340</v>
      </c>
      <c r="V33" s="180" t="s">
        <v>341</v>
      </c>
      <c r="W33" s="249" t="s">
        <v>36</v>
      </c>
      <c r="X33" s="180" t="s">
        <v>232</v>
      </c>
      <c r="Y33" s="180" t="s">
        <v>233</v>
      </c>
      <c r="Z33" s="180" t="s">
        <v>183</v>
      </c>
      <c r="AA33" s="180" t="s">
        <v>342</v>
      </c>
      <c r="AB33" s="180" t="s">
        <v>346</v>
      </c>
    </row>
    <row r="34" spans="2:26" ht="12.75">
      <c r="B34" t="s">
        <v>427</v>
      </c>
      <c r="E34" s="26" t="s">
        <v>36</v>
      </c>
      <c r="F34" s="8">
        <f>W40+W47+W53+W59</f>
        <v>298.08</v>
      </c>
      <c r="G34" s="12">
        <v>150</v>
      </c>
      <c r="H34" s="22">
        <f>I34/'BCIS Smmary'!$L$6</f>
        <v>19.700214132762312</v>
      </c>
      <c r="I34" s="23">
        <f t="shared" si="1"/>
        <v>44712</v>
      </c>
      <c r="N34" s="226"/>
      <c r="O34" t="s">
        <v>137</v>
      </c>
      <c r="P34" s="94">
        <f>R16</f>
        <v>465.73465</v>
      </c>
      <c r="S34" t="s">
        <v>301</v>
      </c>
      <c r="T34">
        <v>1</v>
      </c>
      <c r="U34" s="94">
        <v>7.5</v>
      </c>
      <c r="V34" s="94">
        <v>4.8</v>
      </c>
      <c r="W34" s="94">
        <f aca="true" t="shared" si="2" ref="W34:W49">T34*U34*V34</f>
        <v>36</v>
      </c>
      <c r="X34" s="36"/>
      <c r="Y34" s="36"/>
      <c r="Z34" s="36"/>
    </row>
    <row r="35" spans="5:26" ht="12.75">
      <c r="E35" s="26"/>
      <c r="F35" s="8">
        <v>0</v>
      </c>
      <c r="G35" s="12">
        <v>0</v>
      </c>
      <c r="H35" s="22">
        <f>I35/'BCIS Smmary'!$L$6</f>
        <v>0</v>
      </c>
      <c r="I35" s="23">
        <f t="shared" si="1"/>
        <v>0</v>
      </c>
      <c r="N35" s="226"/>
      <c r="O35" t="s">
        <v>38</v>
      </c>
      <c r="P35" s="94">
        <f>W16</f>
        <v>496.8417</v>
      </c>
      <c r="S35" t="s">
        <v>157</v>
      </c>
      <c r="T35">
        <v>12</v>
      </c>
      <c r="U35" s="94">
        <v>2</v>
      </c>
      <c r="V35" s="94">
        <v>2.4</v>
      </c>
      <c r="W35" s="94">
        <f t="shared" si="2"/>
        <v>57.599999999999994</v>
      </c>
      <c r="X35" s="36"/>
      <c r="Y35" s="217"/>
      <c r="Z35" s="36"/>
    </row>
    <row r="36" spans="5:25" ht="12.75">
      <c r="E36" s="26"/>
      <c r="F36" s="8">
        <v>0</v>
      </c>
      <c r="G36" s="12">
        <v>0</v>
      </c>
      <c r="H36" s="22">
        <f>I36/'BCIS Smmary'!$L$6</f>
        <v>0</v>
      </c>
      <c r="I36" s="23">
        <f t="shared" si="1"/>
        <v>0</v>
      </c>
      <c r="N36" s="226"/>
      <c r="O36" t="s">
        <v>132</v>
      </c>
      <c r="P36" s="94">
        <f>AB16</f>
        <v>505.07405000000006</v>
      </c>
      <c r="T36">
        <v>5</v>
      </c>
      <c r="U36" s="94">
        <v>6.9</v>
      </c>
      <c r="V36" s="94">
        <v>2.4</v>
      </c>
      <c r="W36" s="94">
        <f t="shared" si="2"/>
        <v>82.8</v>
      </c>
      <c r="Y36" s="217"/>
    </row>
    <row r="37" spans="5:23" ht="12.75">
      <c r="E37" s="26"/>
      <c r="F37" s="8">
        <v>0</v>
      </c>
      <c r="G37" s="12">
        <v>0</v>
      </c>
      <c r="H37" s="22">
        <f>I37/'BCIS Smmary'!$L$6</f>
        <v>0</v>
      </c>
      <c r="I37" s="23">
        <f t="shared" si="1"/>
        <v>0</v>
      </c>
      <c r="N37" s="226"/>
      <c r="O37" t="s">
        <v>133</v>
      </c>
      <c r="P37" s="94">
        <f>R29</f>
        <v>503.47344999999996</v>
      </c>
      <c r="S37" t="s">
        <v>402</v>
      </c>
      <c r="T37">
        <v>1</v>
      </c>
      <c r="U37" s="94">
        <v>2</v>
      </c>
      <c r="V37" s="183">
        <v>2.4</v>
      </c>
      <c r="W37" s="94">
        <f t="shared" si="2"/>
        <v>4.8</v>
      </c>
    </row>
    <row r="38" spans="5:28" ht="12.75">
      <c r="E38" s="26"/>
      <c r="F38" s="8">
        <v>0</v>
      </c>
      <c r="G38" s="12">
        <v>0</v>
      </c>
      <c r="H38" s="22">
        <f>I38/'BCIS Smmary'!$L$6</f>
        <v>0</v>
      </c>
      <c r="I38" s="23">
        <f t="shared" si="1"/>
        <v>0</v>
      </c>
      <c r="N38" s="226"/>
      <c r="O38" t="s">
        <v>134</v>
      </c>
      <c r="P38" s="94">
        <f>W29</f>
        <v>363.8107</v>
      </c>
      <c r="T38">
        <v>1</v>
      </c>
      <c r="U38" s="94">
        <v>1.2</v>
      </c>
      <c r="V38" s="183">
        <v>2.4</v>
      </c>
      <c r="W38" s="94">
        <f t="shared" si="2"/>
        <v>2.88</v>
      </c>
      <c r="X38" s="217">
        <v>12</v>
      </c>
      <c r="Y38" s="217"/>
      <c r="Z38" s="36">
        <v>5</v>
      </c>
      <c r="AA38" s="36">
        <v>4</v>
      </c>
      <c r="AB38" s="36">
        <v>1</v>
      </c>
    </row>
    <row r="39" spans="5:26" ht="12.75">
      <c r="E39" s="26"/>
      <c r="F39" s="8">
        <v>0</v>
      </c>
      <c r="G39" s="12">
        <v>0</v>
      </c>
      <c r="H39" s="22">
        <f>I39/'BCIS Smmary'!$L$6</f>
        <v>0</v>
      </c>
      <c r="I39" s="23">
        <f t="shared" si="1"/>
        <v>0</v>
      </c>
      <c r="N39" s="226"/>
      <c r="O39" t="s">
        <v>135</v>
      </c>
      <c r="P39" s="94">
        <f>AB29</f>
        <v>81.0966</v>
      </c>
      <c r="S39" s="179" t="s">
        <v>280</v>
      </c>
      <c r="T39">
        <v>9</v>
      </c>
      <c r="U39" s="94">
        <v>2</v>
      </c>
      <c r="V39" s="183">
        <v>2.4</v>
      </c>
      <c r="W39" s="94">
        <f t="shared" si="2"/>
        <v>43.199999999999996</v>
      </c>
      <c r="X39" s="217"/>
      <c r="Y39" s="217"/>
      <c r="Z39" s="36"/>
    </row>
    <row r="40" spans="5:26" ht="12.75">
      <c r="E40" s="26"/>
      <c r="F40" s="8">
        <v>0</v>
      </c>
      <c r="G40" s="12">
        <v>0</v>
      </c>
      <c r="H40" s="22">
        <f>I40/'BCIS Smmary'!$L$6</f>
        <v>0</v>
      </c>
      <c r="I40" s="23">
        <f t="shared" si="1"/>
        <v>0</v>
      </c>
      <c r="N40" s="226"/>
      <c r="T40">
        <v>5</v>
      </c>
      <c r="U40" s="94">
        <v>6.9</v>
      </c>
      <c r="V40" s="266">
        <v>2.4</v>
      </c>
      <c r="W40" s="291">
        <f t="shared" si="2"/>
        <v>82.8</v>
      </c>
      <c r="X40" s="217"/>
      <c r="Y40" s="36"/>
      <c r="Z40" s="36">
        <v>5</v>
      </c>
    </row>
    <row r="41" spans="5:26" ht="13.5" thickBot="1">
      <c r="E41" s="26"/>
      <c r="F41" s="8">
        <v>0</v>
      </c>
      <c r="G41" s="12">
        <v>0</v>
      </c>
      <c r="H41" s="22">
        <f>I41/'BCIS Smmary'!$L$6</f>
        <v>0</v>
      </c>
      <c r="I41" s="23">
        <f t="shared" si="1"/>
        <v>0</v>
      </c>
      <c r="N41" s="226"/>
      <c r="O41" t="s">
        <v>136</v>
      </c>
      <c r="P41" s="278">
        <f>SUM(P34:P40)</f>
        <v>2416.03115</v>
      </c>
      <c r="T41">
        <v>1</v>
      </c>
      <c r="U41" s="94">
        <v>2</v>
      </c>
      <c r="V41" s="266">
        <v>1.2</v>
      </c>
      <c r="W41" s="94">
        <f t="shared" si="2"/>
        <v>2.4</v>
      </c>
      <c r="X41" s="218"/>
      <c r="Y41" s="36"/>
      <c r="Z41" s="36"/>
    </row>
    <row r="42" spans="5:26" ht="13.5" thickTop="1">
      <c r="E42" s="26"/>
      <c r="F42" s="8">
        <v>0</v>
      </c>
      <c r="G42" s="12">
        <v>0</v>
      </c>
      <c r="H42" s="22">
        <f>I42/'BCIS Smmary'!$L$6</f>
        <v>0</v>
      </c>
      <c r="I42" s="23">
        <f t="shared" si="1"/>
        <v>0</v>
      </c>
      <c r="N42" s="226"/>
      <c r="S42" t="s">
        <v>402</v>
      </c>
      <c r="T42">
        <v>2</v>
      </c>
      <c r="U42" s="94">
        <v>1.2</v>
      </c>
      <c r="V42" s="266">
        <v>2.4</v>
      </c>
      <c r="W42" s="94">
        <f t="shared" si="2"/>
        <v>5.76</v>
      </c>
      <c r="X42" s="218"/>
      <c r="Y42" s="36"/>
      <c r="Z42" s="36"/>
    </row>
    <row r="43" spans="5:26" ht="12.75">
      <c r="E43" s="26"/>
      <c r="F43" s="8">
        <v>0</v>
      </c>
      <c r="G43" s="12">
        <v>0</v>
      </c>
      <c r="H43" s="22">
        <f>I43/'BCIS Smmary'!$L$6</f>
        <v>0</v>
      </c>
      <c r="I43" s="23">
        <f t="shared" si="1"/>
        <v>0</v>
      </c>
      <c r="N43" s="226"/>
      <c r="T43">
        <v>3</v>
      </c>
      <c r="U43" s="94">
        <v>1.2</v>
      </c>
      <c r="V43" s="266">
        <v>1.2</v>
      </c>
      <c r="W43" s="94">
        <f t="shared" si="2"/>
        <v>4.319999999999999</v>
      </c>
      <c r="X43" s="217">
        <v>5</v>
      </c>
      <c r="Y43" s="36"/>
      <c r="Z43" s="36">
        <v>5</v>
      </c>
    </row>
    <row r="44" spans="5:26" ht="12.75">
      <c r="E44" s="26"/>
      <c r="F44" s="8">
        <v>0</v>
      </c>
      <c r="G44" s="12">
        <v>0</v>
      </c>
      <c r="H44" s="22">
        <f>I44/'BCIS Smmary'!$L$6</f>
        <v>0</v>
      </c>
      <c r="I44" s="23">
        <f t="shared" si="1"/>
        <v>0</v>
      </c>
      <c r="N44" s="226"/>
      <c r="S44" s="179" t="s">
        <v>343</v>
      </c>
      <c r="T44">
        <v>1</v>
      </c>
      <c r="U44" s="94">
        <v>7.2</v>
      </c>
      <c r="V44" s="266">
        <v>2.4</v>
      </c>
      <c r="W44" s="94">
        <f t="shared" si="2"/>
        <v>17.28</v>
      </c>
      <c r="X44" s="217"/>
      <c r="Y44" s="36"/>
      <c r="Z44" s="36"/>
    </row>
    <row r="45" spans="5:26" ht="12.75">
      <c r="E45" s="26"/>
      <c r="F45" s="8">
        <v>0</v>
      </c>
      <c r="G45" s="12">
        <v>0</v>
      </c>
      <c r="H45" s="22">
        <f>I45/'BCIS Smmary'!$L$6</f>
        <v>0</v>
      </c>
      <c r="I45" s="23">
        <f t="shared" si="1"/>
        <v>0</v>
      </c>
      <c r="N45" s="3"/>
      <c r="T45">
        <v>4</v>
      </c>
      <c r="U45" s="94">
        <v>1.2</v>
      </c>
      <c r="V45" s="266">
        <v>2.4</v>
      </c>
      <c r="W45" s="94">
        <f t="shared" si="2"/>
        <v>11.52</v>
      </c>
      <c r="X45" s="217"/>
      <c r="Y45" s="36"/>
      <c r="Z45" s="36"/>
    </row>
    <row r="46" spans="5:26" ht="12.75">
      <c r="E46" s="26"/>
      <c r="F46" s="8">
        <v>0</v>
      </c>
      <c r="G46" s="12">
        <v>0</v>
      </c>
      <c r="H46" s="22">
        <f>I46/'BCIS Smmary'!$L$6</f>
        <v>0</v>
      </c>
      <c r="I46" s="23">
        <f t="shared" si="1"/>
        <v>0</v>
      </c>
      <c r="N46" s="3"/>
      <c r="T46">
        <v>8</v>
      </c>
      <c r="U46" s="94">
        <v>2.4</v>
      </c>
      <c r="V46" s="266">
        <v>2.4</v>
      </c>
      <c r="W46" s="94">
        <f t="shared" si="2"/>
        <v>46.08</v>
      </c>
      <c r="X46" s="217"/>
      <c r="Y46" s="36"/>
      <c r="Z46" s="36"/>
    </row>
    <row r="47" spans="5:26" ht="12.75">
      <c r="E47" s="26"/>
      <c r="F47" s="8">
        <v>0</v>
      </c>
      <c r="G47" s="12">
        <v>0</v>
      </c>
      <c r="H47" s="22">
        <f>I47/'BCIS Smmary'!$L$6</f>
        <v>0</v>
      </c>
      <c r="I47" s="23">
        <f t="shared" si="1"/>
        <v>0</v>
      </c>
      <c r="N47" s="3"/>
      <c r="T47">
        <v>5</v>
      </c>
      <c r="U47" s="94">
        <v>6.9</v>
      </c>
      <c r="V47" s="266">
        <v>2.4</v>
      </c>
      <c r="W47" s="291">
        <f t="shared" si="2"/>
        <v>82.8</v>
      </c>
      <c r="X47" s="217"/>
      <c r="Y47" s="36"/>
      <c r="Z47" s="36"/>
    </row>
    <row r="48" spans="5:26" ht="12.75">
      <c r="E48" s="26"/>
      <c r="F48" s="8">
        <v>0</v>
      </c>
      <c r="G48" s="12">
        <v>0</v>
      </c>
      <c r="H48" s="22">
        <f>I48/'BCIS Smmary'!$L$6</f>
        <v>0</v>
      </c>
      <c r="I48" s="23">
        <f t="shared" si="1"/>
        <v>0</v>
      </c>
      <c r="N48" s="3"/>
      <c r="T48">
        <v>1</v>
      </c>
      <c r="U48" s="94">
        <v>5</v>
      </c>
      <c r="V48" s="266">
        <v>1.2</v>
      </c>
      <c r="W48" s="94">
        <f t="shared" si="2"/>
        <v>6</v>
      </c>
      <c r="X48" s="217"/>
      <c r="Y48" s="36"/>
      <c r="Z48" s="36"/>
    </row>
    <row r="49" spans="1:26" ht="12.75">
      <c r="A49" s="9"/>
      <c r="E49" s="26"/>
      <c r="F49" s="8">
        <v>0</v>
      </c>
      <c r="G49" s="12">
        <v>0</v>
      </c>
      <c r="H49" s="22">
        <f>I49/'BCIS Smmary'!$L$6</f>
        <v>0</v>
      </c>
      <c r="I49" s="23">
        <f t="shared" si="1"/>
        <v>0</v>
      </c>
      <c r="N49" s="3"/>
      <c r="T49">
        <v>5</v>
      </c>
      <c r="U49" s="94">
        <v>1.2</v>
      </c>
      <c r="V49" s="266">
        <v>1.2</v>
      </c>
      <c r="W49" s="94">
        <f t="shared" si="2"/>
        <v>7.199999999999999</v>
      </c>
      <c r="X49" s="217">
        <v>11</v>
      </c>
      <c r="Y49" s="36"/>
      <c r="Z49" s="36">
        <v>5</v>
      </c>
    </row>
    <row r="50" spans="1:26" ht="12.75">
      <c r="A50" s="34" t="s">
        <v>147</v>
      </c>
      <c r="B50" s="35"/>
      <c r="C50" s="35"/>
      <c r="D50" s="35"/>
      <c r="E50" s="18"/>
      <c r="F50" s="25"/>
      <c r="G50" s="25"/>
      <c r="H50" s="32">
        <f>I50/'BCIS Smmary'!$L$6</f>
        <v>320.8545319260493</v>
      </c>
      <c r="I50" s="31">
        <f>SUM(I5:I49)</f>
        <v>728217.86275</v>
      </c>
      <c r="N50" s="3"/>
      <c r="S50" s="179" t="s">
        <v>336</v>
      </c>
      <c r="T50">
        <v>1</v>
      </c>
      <c r="U50" s="94">
        <v>7.2</v>
      </c>
      <c r="V50" s="266">
        <v>2.4</v>
      </c>
      <c r="W50" s="94">
        <f aca="true" t="shared" si="3" ref="W50:W55">T50*U50*V50</f>
        <v>17.28</v>
      </c>
      <c r="X50" s="217"/>
      <c r="Y50" s="36"/>
      <c r="Z50" s="36"/>
    </row>
    <row r="51" spans="14:26" ht="12.75">
      <c r="N51" s="3"/>
      <c r="T51">
        <v>4</v>
      </c>
      <c r="U51" s="94">
        <v>1.2</v>
      </c>
      <c r="V51" s="266">
        <v>2.4</v>
      </c>
      <c r="W51" s="94">
        <f t="shared" si="3"/>
        <v>11.52</v>
      </c>
      <c r="X51" s="217"/>
      <c r="Y51" s="36"/>
      <c r="Z51" s="36"/>
    </row>
    <row r="52" spans="20:24" ht="12.75">
      <c r="T52">
        <v>11</v>
      </c>
      <c r="U52" s="94">
        <v>2.4</v>
      </c>
      <c r="V52" s="266">
        <v>2.4</v>
      </c>
      <c r="W52" s="94">
        <f t="shared" si="3"/>
        <v>63.35999999999999</v>
      </c>
      <c r="X52" s="217"/>
    </row>
    <row r="53" spans="20:24" ht="12.75">
      <c r="T53">
        <v>5</v>
      </c>
      <c r="U53" s="94">
        <v>6.9</v>
      </c>
      <c r="V53" s="266">
        <v>2.4</v>
      </c>
      <c r="W53" s="291">
        <f t="shared" si="3"/>
        <v>82.8</v>
      </c>
      <c r="X53" s="217"/>
    </row>
    <row r="54" spans="20:24" ht="12.75">
      <c r="T54">
        <v>1</v>
      </c>
      <c r="U54" s="94">
        <v>5</v>
      </c>
      <c r="V54" s="266">
        <v>1.2</v>
      </c>
      <c r="W54" s="94">
        <f t="shared" si="3"/>
        <v>6</v>
      </c>
      <c r="X54" s="217"/>
    </row>
    <row r="55" spans="20:26" ht="12.75">
      <c r="T55">
        <v>2</v>
      </c>
      <c r="U55" s="94">
        <v>1.2</v>
      </c>
      <c r="V55" s="266">
        <v>1.2</v>
      </c>
      <c r="W55" s="94">
        <f t="shared" si="3"/>
        <v>2.88</v>
      </c>
      <c r="X55" s="217">
        <v>13</v>
      </c>
      <c r="Z55" s="36">
        <v>5</v>
      </c>
    </row>
    <row r="56" spans="15:26" ht="12.75">
      <c r="O56" s="1"/>
      <c r="P56" s="1"/>
      <c r="Q56" s="1"/>
      <c r="S56" s="179" t="s">
        <v>344</v>
      </c>
      <c r="T56">
        <v>1</v>
      </c>
      <c r="U56" s="94">
        <v>2</v>
      </c>
      <c r="V56" s="266">
        <v>2.4</v>
      </c>
      <c r="W56" s="94">
        <f aca="true" t="shared" si="4" ref="W56:W61">T56*U56*V56</f>
        <v>4.8</v>
      </c>
      <c r="X56" s="217"/>
      <c r="Z56" s="36"/>
    </row>
    <row r="57" spans="15:26" ht="12.75">
      <c r="O57" s="1"/>
      <c r="P57" s="1"/>
      <c r="Q57" s="1"/>
      <c r="T57">
        <v>4</v>
      </c>
      <c r="U57" s="94">
        <v>1.2</v>
      </c>
      <c r="V57" s="266">
        <v>2.4</v>
      </c>
      <c r="W57" s="94">
        <f t="shared" si="4"/>
        <v>11.52</v>
      </c>
      <c r="X57" s="217"/>
      <c r="Z57" s="36"/>
    </row>
    <row r="58" spans="20:26" ht="12.75">
      <c r="T58">
        <v>9</v>
      </c>
      <c r="U58" s="94">
        <v>2.4</v>
      </c>
      <c r="V58" s="266">
        <v>2.4</v>
      </c>
      <c r="W58" s="94">
        <f t="shared" si="4"/>
        <v>51.839999999999996</v>
      </c>
      <c r="X58" s="217"/>
      <c r="Z58" s="36"/>
    </row>
    <row r="59" spans="20:26" ht="12.75">
      <c r="T59">
        <v>3</v>
      </c>
      <c r="U59" s="94">
        <v>6.9</v>
      </c>
      <c r="V59" s="266">
        <v>2.4</v>
      </c>
      <c r="W59" s="291">
        <f t="shared" si="4"/>
        <v>49.68000000000001</v>
      </c>
      <c r="X59" s="217"/>
      <c r="Z59" s="36"/>
    </row>
    <row r="60" spans="20:26" ht="12.75">
      <c r="T60">
        <v>1</v>
      </c>
      <c r="U60" s="94">
        <v>2</v>
      </c>
      <c r="V60" s="266">
        <v>1.2</v>
      </c>
      <c r="W60" s="94">
        <f t="shared" si="4"/>
        <v>2.4</v>
      </c>
      <c r="X60" s="217"/>
      <c r="Z60" s="36"/>
    </row>
    <row r="61" spans="20:26" ht="12.75">
      <c r="T61">
        <v>1</v>
      </c>
      <c r="U61" s="94">
        <v>2.4</v>
      </c>
      <c r="V61" s="266">
        <v>2</v>
      </c>
      <c r="W61" s="94">
        <f t="shared" si="4"/>
        <v>4.8</v>
      </c>
      <c r="X61" s="217">
        <v>7</v>
      </c>
      <c r="Z61" s="36">
        <v>4</v>
      </c>
    </row>
    <row r="62" spans="19:26" ht="12.75">
      <c r="S62" s="179" t="s">
        <v>345</v>
      </c>
      <c r="T62">
        <v>1</v>
      </c>
      <c r="U62" s="94">
        <v>7.2</v>
      </c>
      <c r="V62" s="266">
        <v>2.4</v>
      </c>
      <c r="W62" s="94">
        <f aca="true" t="shared" si="5" ref="W62:W67">T62*U62*V62</f>
        <v>17.28</v>
      </c>
      <c r="X62" s="217"/>
      <c r="Z62" s="36"/>
    </row>
    <row r="63" spans="20:26" ht="12.75">
      <c r="T63">
        <v>1</v>
      </c>
      <c r="U63" s="94">
        <v>1.2</v>
      </c>
      <c r="V63" s="266">
        <v>2.4</v>
      </c>
      <c r="W63" s="94">
        <f t="shared" si="5"/>
        <v>2.88</v>
      </c>
      <c r="X63" s="217"/>
      <c r="Z63" s="36"/>
    </row>
    <row r="64" spans="20:26" ht="12.75">
      <c r="T64">
        <v>1</v>
      </c>
      <c r="U64" s="94">
        <v>2.4</v>
      </c>
      <c r="V64" s="266">
        <v>2.4</v>
      </c>
      <c r="W64" s="94">
        <f t="shared" si="5"/>
        <v>5.76</v>
      </c>
      <c r="X64" s="217"/>
      <c r="Z64" s="36"/>
    </row>
    <row r="65" spans="20:26" ht="12.75">
      <c r="T65">
        <v>0</v>
      </c>
      <c r="U65" s="94">
        <v>6.9</v>
      </c>
      <c r="V65" s="266">
        <v>2.4</v>
      </c>
      <c r="W65" s="94">
        <f t="shared" si="5"/>
        <v>0</v>
      </c>
      <c r="X65" s="217"/>
      <c r="Z65" s="36"/>
    </row>
    <row r="66" spans="20:26" ht="12.75">
      <c r="T66">
        <v>1</v>
      </c>
      <c r="U66" s="94">
        <v>5</v>
      </c>
      <c r="V66" s="266">
        <v>2.4</v>
      </c>
      <c r="W66" s="94">
        <f t="shared" si="5"/>
        <v>12</v>
      </c>
      <c r="X66" s="217"/>
      <c r="Z66" s="36"/>
    </row>
    <row r="67" spans="20:26" ht="12.75">
      <c r="T67">
        <v>0</v>
      </c>
      <c r="U67" s="94">
        <v>1.2</v>
      </c>
      <c r="V67" s="266">
        <v>1.2</v>
      </c>
      <c r="W67" s="94">
        <f t="shared" si="5"/>
        <v>0</v>
      </c>
      <c r="X67" s="217">
        <v>1</v>
      </c>
      <c r="Z67" s="36">
        <v>1</v>
      </c>
    </row>
    <row r="68" spans="21:28" ht="12.75">
      <c r="U68" s="176">
        <f>SUM(U34:U67)</f>
        <v>121.50000000000006</v>
      </c>
      <c r="V68" s="29" t="s">
        <v>136</v>
      </c>
      <c r="W68" s="250">
        <f aca="true" t="shared" si="6" ref="W68:AB68">SUM(W34:W67)</f>
        <v>840.2399999999998</v>
      </c>
      <c r="X68" s="250">
        <f t="shared" si="6"/>
        <v>49</v>
      </c>
      <c r="Y68" s="250">
        <f t="shared" si="6"/>
        <v>0</v>
      </c>
      <c r="Z68" s="250">
        <f t="shared" si="6"/>
        <v>30</v>
      </c>
      <c r="AA68" s="250">
        <f t="shared" si="6"/>
        <v>4</v>
      </c>
      <c r="AB68" s="250">
        <f t="shared" si="6"/>
        <v>1</v>
      </c>
    </row>
    <row r="69" spans="22:24" ht="12.75">
      <c r="V69" s="29"/>
      <c r="W69" s="1"/>
      <c r="X69" s="1"/>
    </row>
  </sheetData>
  <printOptions/>
  <pageMargins left="0.75" right="0.75" top="1" bottom="1" header="0.5" footer="0.5"/>
  <pageSetup fitToHeight="2" horizontalDpi="300" verticalDpi="300" orientation="portrait" paperSize="9" scale="76" r:id="rId1"/>
  <headerFooter alignWithMargins="0">
    <oddFooter>&amp;L&amp;D  &amp;T&amp;C9&amp;R&amp;F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Z46"/>
  <sheetViews>
    <sheetView workbookViewId="0" topLeftCell="A1">
      <selection activeCell="B6" sqref="B6:D10"/>
    </sheetView>
  </sheetViews>
  <sheetFormatPr defaultColWidth="9.140625" defaultRowHeight="12.75"/>
  <cols>
    <col min="1" max="1" width="3.7109375" style="0" customWidth="1"/>
    <col min="4" max="4" width="24.8515625" style="0" customWidth="1"/>
    <col min="5" max="5" width="5.7109375" style="0" customWidth="1"/>
    <col min="6" max="6" width="9.28125" style="0" bestFit="1" customWidth="1"/>
    <col min="7" max="7" width="10.57421875" style="0" bestFit="1" customWidth="1"/>
    <col min="8" max="8" width="9.57421875" style="0" customWidth="1"/>
    <col min="9" max="9" width="13.140625" style="0" customWidth="1"/>
    <col min="10" max="14" width="0" style="0" hidden="1" customWidth="1"/>
  </cols>
  <sheetData>
    <row r="1" spans="1:9" ht="12.75">
      <c r="A1" s="57" t="s">
        <v>10</v>
      </c>
      <c r="B1" s="58"/>
      <c r="C1" s="58"/>
      <c r="D1" s="59" t="s">
        <v>44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20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1" t="s">
        <v>7</v>
      </c>
      <c r="O4" s="225"/>
      <c r="P4" s="214"/>
      <c r="Q4" s="221"/>
      <c r="R4" s="214"/>
      <c r="S4" s="214"/>
      <c r="T4" s="1"/>
    </row>
    <row r="5" spans="1:24" ht="12.75">
      <c r="A5" s="9"/>
      <c r="B5" s="33"/>
      <c r="C5" s="33"/>
      <c r="D5" s="33"/>
      <c r="E5" s="26"/>
      <c r="F5" s="38"/>
      <c r="G5" s="39">
        <v>0</v>
      </c>
      <c r="H5" s="41">
        <f>I5/'BCIS Smmary'!$L$6</f>
        <v>0</v>
      </c>
      <c r="I5" s="42">
        <f aca="true" t="shared" si="0" ref="I5:I14">F5*G5</f>
        <v>0</v>
      </c>
      <c r="O5" s="3"/>
      <c r="P5" s="92" t="s">
        <v>176</v>
      </c>
      <c r="Q5" s="1"/>
      <c r="R5" s="92" t="s">
        <v>175</v>
      </c>
      <c r="S5" s="1"/>
      <c r="U5" s="92" t="s">
        <v>235</v>
      </c>
      <c r="X5" s="179" t="s">
        <v>176</v>
      </c>
    </row>
    <row r="6" spans="1:26" ht="12.75">
      <c r="A6" s="9"/>
      <c r="B6" s="33" t="s">
        <v>175</v>
      </c>
      <c r="C6" s="33"/>
      <c r="D6" s="33"/>
      <c r="E6" s="26" t="s">
        <v>36</v>
      </c>
      <c r="F6" s="38">
        <f>T19</f>
        <v>659.0400000000001</v>
      </c>
      <c r="G6" s="39">
        <v>60</v>
      </c>
      <c r="H6" s="41">
        <f>I6/'BCIS Smmary'!$L$6</f>
        <v>17.42247600919978</v>
      </c>
      <c r="I6" s="42">
        <f>F6*G6</f>
        <v>39542.4</v>
      </c>
      <c r="O6" s="3"/>
      <c r="P6" s="92"/>
      <c r="Q6" s="1"/>
      <c r="R6" s="213" t="s">
        <v>349</v>
      </c>
      <c r="S6" s="213" t="s">
        <v>341</v>
      </c>
      <c r="T6" s="213" t="s">
        <v>350</v>
      </c>
      <c r="U6" s="213" t="s">
        <v>349</v>
      </c>
      <c r="V6" s="213" t="s">
        <v>341</v>
      </c>
      <c r="W6" s="213" t="s">
        <v>350</v>
      </c>
      <c r="X6" s="213" t="s">
        <v>349</v>
      </c>
      <c r="Y6" s="213" t="s">
        <v>341</v>
      </c>
      <c r="Z6" s="213" t="s">
        <v>350</v>
      </c>
    </row>
    <row r="7" spans="1:26" ht="12.75">
      <c r="A7" s="9"/>
      <c r="B7" s="33" t="s">
        <v>235</v>
      </c>
      <c r="C7" s="33"/>
      <c r="D7" s="75"/>
      <c r="E7" s="26" t="s">
        <v>36</v>
      </c>
      <c r="F7" s="38">
        <f>W19</f>
        <v>104.664</v>
      </c>
      <c r="G7" s="39">
        <v>60</v>
      </c>
      <c r="H7" s="41">
        <f>I7/'BCIS Smmary'!$L$6</f>
        <v>2.766912522801174</v>
      </c>
      <c r="I7" s="42">
        <f t="shared" si="0"/>
        <v>6279.84</v>
      </c>
      <c r="O7" s="3"/>
      <c r="P7" s="1" t="s">
        <v>331</v>
      </c>
      <c r="Q7" s="261"/>
      <c r="R7" s="183">
        <v>35.03</v>
      </c>
      <c r="S7" s="183">
        <v>2.4</v>
      </c>
      <c r="T7" s="280">
        <f>R7*S7</f>
        <v>84.072</v>
      </c>
      <c r="U7" s="183">
        <v>8.15</v>
      </c>
      <c r="V7" s="266">
        <v>2.4</v>
      </c>
      <c r="W7" s="280">
        <f>U7*V7</f>
        <v>19.56</v>
      </c>
      <c r="X7" s="94">
        <v>101.47</v>
      </c>
      <c r="Y7" s="94">
        <v>2.4</v>
      </c>
      <c r="Z7" s="280">
        <f>X7*Y7</f>
        <v>243.528</v>
      </c>
    </row>
    <row r="8" spans="1:26" ht="12.75">
      <c r="A8" s="9"/>
      <c r="B8" s="33" t="s">
        <v>176</v>
      </c>
      <c r="C8" s="33"/>
      <c r="D8" s="33"/>
      <c r="E8" s="26" t="s">
        <v>36</v>
      </c>
      <c r="F8" s="38">
        <f>Z19</f>
        <v>1314.048</v>
      </c>
      <c r="G8" s="39">
        <v>40</v>
      </c>
      <c r="H8" s="41">
        <f>I8/'BCIS Smmary'!$L$6</f>
        <v>23.15890765855077</v>
      </c>
      <c r="I8" s="42">
        <f t="shared" si="0"/>
        <v>52561.92</v>
      </c>
      <c r="O8" s="3"/>
      <c r="P8" s="1"/>
      <c r="Q8" s="1"/>
      <c r="R8" s="183"/>
      <c r="S8" s="183"/>
      <c r="T8" s="280">
        <f aca="true" t="shared" si="1" ref="T8:T18">R8*S8</f>
        <v>0</v>
      </c>
      <c r="U8" s="183"/>
      <c r="V8" s="183"/>
      <c r="W8" s="280">
        <f aca="true" t="shared" si="2" ref="W8:W18">U8*V8</f>
        <v>0</v>
      </c>
      <c r="X8" s="94"/>
      <c r="Y8" s="94"/>
      <c r="Z8" s="280">
        <f aca="true" t="shared" si="3" ref="Z8:Z18">X8*Y8</f>
        <v>0</v>
      </c>
    </row>
    <row r="9" spans="1:26" ht="12.75">
      <c r="A9" s="9"/>
      <c r="B9" s="33"/>
      <c r="C9" s="33"/>
      <c r="D9" s="33"/>
      <c r="E9" s="26"/>
      <c r="F9" s="38">
        <v>0</v>
      </c>
      <c r="G9" s="39">
        <v>0</v>
      </c>
      <c r="H9" s="41">
        <f>I9/'BCIS Smmary'!$L$6</f>
        <v>0</v>
      </c>
      <c r="I9" s="42">
        <f t="shared" si="0"/>
        <v>0</v>
      </c>
      <c r="O9" s="3"/>
      <c r="P9" s="1" t="s">
        <v>280</v>
      </c>
      <c r="Q9" s="1"/>
      <c r="R9" s="183">
        <f>SUM(29.92+37.88)</f>
        <v>67.80000000000001</v>
      </c>
      <c r="S9" s="183">
        <v>2.4</v>
      </c>
      <c r="T9" s="280">
        <f t="shared" si="1"/>
        <v>162.72000000000003</v>
      </c>
      <c r="U9" s="183">
        <v>8.91</v>
      </c>
      <c r="V9" s="183">
        <v>2.4</v>
      </c>
      <c r="W9" s="280">
        <f t="shared" si="2"/>
        <v>21.384</v>
      </c>
      <c r="X9" s="94">
        <f>SUM(152.64+11.47-37.88)</f>
        <v>126.22999999999999</v>
      </c>
      <c r="Y9" s="94">
        <v>2.4</v>
      </c>
      <c r="Z9" s="280">
        <f t="shared" si="3"/>
        <v>302.95199999999994</v>
      </c>
    </row>
    <row r="10" spans="2:26" ht="12.75">
      <c r="B10" s="33"/>
      <c r="C10" s="33"/>
      <c r="D10" s="33"/>
      <c r="E10" s="26"/>
      <c r="F10" s="38">
        <v>0</v>
      </c>
      <c r="G10" s="39">
        <v>0</v>
      </c>
      <c r="H10" s="41">
        <f>I10/'BCIS Smmary'!$L$6</f>
        <v>0</v>
      </c>
      <c r="I10" s="42">
        <f t="shared" si="0"/>
        <v>0</v>
      </c>
      <c r="O10" s="3"/>
      <c r="P10" s="1"/>
      <c r="Q10" s="1"/>
      <c r="R10" s="183"/>
      <c r="S10" s="183"/>
      <c r="T10" s="280">
        <f t="shared" si="1"/>
        <v>0</v>
      </c>
      <c r="U10" s="183"/>
      <c r="V10" s="183"/>
      <c r="W10" s="280">
        <f t="shared" si="2"/>
        <v>0</v>
      </c>
      <c r="X10" s="94"/>
      <c r="Y10" s="94"/>
      <c r="Z10" s="280">
        <f t="shared" si="3"/>
        <v>0</v>
      </c>
    </row>
    <row r="11" spans="2:26" ht="12.75">
      <c r="B11" t="s">
        <v>179</v>
      </c>
      <c r="C11" s="33"/>
      <c r="D11" s="75"/>
      <c r="E11" s="26" t="s">
        <v>36</v>
      </c>
      <c r="F11" s="38">
        <f>32*20</f>
        <v>640</v>
      </c>
      <c r="G11" s="39">
        <v>5</v>
      </c>
      <c r="H11" s="41">
        <f>I11/'BCIS Smmary'!$L$6</f>
        <v>1.409927653087301</v>
      </c>
      <c r="I11" s="42">
        <f>F11*G11</f>
        <v>3200</v>
      </c>
      <c r="O11" s="226"/>
      <c r="P11" s="217" t="s">
        <v>343</v>
      </c>
      <c r="Q11" s="187"/>
      <c r="R11" s="183">
        <v>65.75</v>
      </c>
      <c r="S11" s="183">
        <v>2.4</v>
      </c>
      <c r="T11" s="280">
        <f t="shared" si="1"/>
        <v>157.79999999999998</v>
      </c>
      <c r="U11" s="183">
        <v>8.73</v>
      </c>
      <c r="V11" s="183">
        <v>2.4</v>
      </c>
      <c r="W11" s="280">
        <f t="shared" si="2"/>
        <v>20.952</v>
      </c>
      <c r="X11" s="94">
        <v>117.5</v>
      </c>
      <c r="Y11" s="94">
        <v>2.4</v>
      </c>
      <c r="Z11" s="280">
        <f t="shared" si="3"/>
        <v>282</v>
      </c>
    </row>
    <row r="12" spans="2:26" ht="12.75">
      <c r="B12" s="33"/>
      <c r="C12" s="33" t="s">
        <v>352</v>
      </c>
      <c r="D12" s="33"/>
      <c r="E12" s="26"/>
      <c r="F12" s="38">
        <v>0</v>
      </c>
      <c r="G12" s="39">
        <v>0</v>
      </c>
      <c r="H12" s="41">
        <f>I12/'BCIS Smmary'!$L$6</f>
        <v>0</v>
      </c>
      <c r="I12" s="42">
        <f t="shared" si="0"/>
        <v>0</v>
      </c>
      <c r="O12" s="3"/>
      <c r="P12" s="217"/>
      <c r="Q12" s="187"/>
      <c r="R12" s="183"/>
      <c r="S12" s="183"/>
      <c r="T12" s="280">
        <f t="shared" si="1"/>
        <v>0</v>
      </c>
      <c r="U12" s="183"/>
      <c r="V12" s="183"/>
      <c r="W12" s="280">
        <f t="shared" si="2"/>
        <v>0</v>
      </c>
      <c r="X12" s="94"/>
      <c r="Y12" s="94"/>
      <c r="Z12" s="280">
        <f t="shared" si="3"/>
        <v>0</v>
      </c>
    </row>
    <row r="13" spans="2:26" ht="12.75">
      <c r="B13" s="33"/>
      <c r="C13" s="282" t="s">
        <v>403</v>
      </c>
      <c r="D13" s="33"/>
      <c r="E13" s="26"/>
      <c r="F13" s="38">
        <v>0</v>
      </c>
      <c r="G13" s="39">
        <v>0</v>
      </c>
      <c r="H13" s="41">
        <f>I13/'BCIS Smmary'!$L$6</f>
        <v>0</v>
      </c>
      <c r="I13" s="42">
        <f t="shared" si="0"/>
        <v>0</v>
      </c>
      <c r="O13" s="3"/>
      <c r="P13" s="1" t="s">
        <v>336</v>
      </c>
      <c r="Q13" s="187"/>
      <c r="R13" s="183">
        <v>68.15</v>
      </c>
      <c r="S13" s="183">
        <v>2.4</v>
      </c>
      <c r="T13" s="280">
        <f t="shared" si="1"/>
        <v>163.56</v>
      </c>
      <c r="U13" s="183">
        <v>9.22</v>
      </c>
      <c r="V13" s="183">
        <v>2.4</v>
      </c>
      <c r="W13" s="280">
        <f t="shared" si="2"/>
        <v>22.128</v>
      </c>
      <c r="X13" s="94">
        <v>105.22</v>
      </c>
      <c r="Y13" s="94">
        <v>2.4</v>
      </c>
      <c r="Z13" s="280">
        <f t="shared" si="3"/>
        <v>252.528</v>
      </c>
    </row>
    <row r="14" spans="2:26" ht="12.75">
      <c r="B14" s="33"/>
      <c r="C14" s="33"/>
      <c r="D14" s="33"/>
      <c r="E14" s="26"/>
      <c r="F14" s="38">
        <v>0</v>
      </c>
      <c r="G14" s="39">
        <v>0</v>
      </c>
      <c r="H14" s="3"/>
      <c r="I14" s="232">
        <f t="shared" si="0"/>
        <v>0</v>
      </c>
      <c r="J14" s="3"/>
      <c r="O14" s="3"/>
      <c r="P14" s="29"/>
      <c r="Q14" s="187"/>
      <c r="R14" s="183"/>
      <c r="S14" s="266"/>
      <c r="T14" s="280">
        <f t="shared" si="1"/>
        <v>0</v>
      </c>
      <c r="U14" s="183"/>
      <c r="V14" s="266"/>
      <c r="W14" s="280">
        <f t="shared" si="2"/>
        <v>0</v>
      </c>
      <c r="X14" s="94"/>
      <c r="Y14" s="94"/>
      <c r="Z14" s="280">
        <f t="shared" si="3"/>
        <v>0</v>
      </c>
    </row>
    <row r="15" spans="2:26" ht="12.75">
      <c r="B15" s="33"/>
      <c r="C15" s="33"/>
      <c r="D15" s="33"/>
      <c r="E15" s="26"/>
      <c r="F15" s="38">
        <v>0</v>
      </c>
      <c r="G15" s="39">
        <v>0</v>
      </c>
      <c r="H15" s="41">
        <f>I15/'BCIS Smmary'!$L$6</f>
        <v>0</v>
      </c>
      <c r="I15" s="42">
        <f aca="true" t="shared" si="4" ref="I15:I29">F15*G15</f>
        <v>0</v>
      </c>
      <c r="O15" s="226"/>
      <c r="P15" s="29" t="s">
        <v>344</v>
      </c>
      <c r="Q15" s="187"/>
      <c r="R15" s="183">
        <v>37.87</v>
      </c>
      <c r="S15" s="266">
        <v>2.4</v>
      </c>
      <c r="T15" s="280">
        <f t="shared" si="1"/>
        <v>90.88799999999999</v>
      </c>
      <c r="U15" s="183">
        <v>8.6</v>
      </c>
      <c r="V15" s="266">
        <v>2.4</v>
      </c>
      <c r="W15" s="280">
        <f t="shared" si="2"/>
        <v>20.639999999999997</v>
      </c>
      <c r="X15" s="94">
        <v>94.79</v>
      </c>
      <c r="Y15" s="94">
        <v>2.4</v>
      </c>
      <c r="Z15" s="280">
        <f t="shared" si="3"/>
        <v>227.496</v>
      </c>
    </row>
    <row r="16" spans="3:26" ht="12.75">
      <c r="C16" s="33"/>
      <c r="D16" s="33"/>
      <c r="E16" s="26"/>
      <c r="F16" s="38">
        <v>0</v>
      </c>
      <c r="G16" s="39">
        <v>0</v>
      </c>
      <c r="H16" s="41">
        <f>I16/'BCIS Smmary'!$L$6</f>
        <v>0</v>
      </c>
      <c r="I16" s="42">
        <f t="shared" si="4"/>
        <v>0</v>
      </c>
      <c r="O16" s="3"/>
      <c r="P16" s="29"/>
      <c r="Q16" s="187"/>
      <c r="R16" s="183"/>
      <c r="S16" s="266"/>
      <c r="T16" s="280">
        <f t="shared" si="1"/>
        <v>0</v>
      </c>
      <c r="U16" s="183"/>
      <c r="V16" s="266"/>
      <c r="W16" s="280">
        <f t="shared" si="2"/>
        <v>0</v>
      </c>
      <c r="X16" s="94"/>
      <c r="Y16" s="94"/>
      <c r="Z16" s="280">
        <f t="shared" si="3"/>
        <v>0</v>
      </c>
    </row>
    <row r="17" spans="2:26" ht="12.75">
      <c r="B17" s="179"/>
      <c r="C17" s="33"/>
      <c r="D17" s="33"/>
      <c r="E17" s="26"/>
      <c r="F17" s="38">
        <v>0</v>
      </c>
      <c r="G17" s="39">
        <v>0</v>
      </c>
      <c r="H17" s="41">
        <f>I17/'BCIS Smmary'!$L$6</f>
        <v>0</v>
      </c>
      <c r="I17" s="42">
        <f t="shared" si="4"/>
        <v>0</v>
      </c>
      <c r="O17" s="3"/>
      <c r="P17" s="29" t="s">
        <v>345</v>
      </c>
      <c r="Q17" s="217"/>
      <c r="R17" s="183">
        <v>0</v>
      </c>
      <c r="S17" s="266"/>
      <c r="T17" s="280">
        <f t="shared" si="1"/>
        <v>0</v>
      </c>
      <c r="U17" s="183">
        <v>0</v>
      </c>
      <c r="V17" s="266"/>
      <c r="W17" s="280">
        <f t="shared" si="2"/>
        <v>0</v>
      </c>
      <c r="X17" s="94">
        <v>2.31</v>
      </c>
      <c r="Y17" s="94">
        <v>2.4</v>
      </c>
      <c r="Z17" s="280">
        <f t="shared" si="3"/>
        <v>5.544</v>
      </c>
    </row>
    <row r="18" spans="3:26" ht="12.75">
      <c r="C18" s="54"/>
      <c r="E18" s="26"/>
      <c r="F18" s="38">
        <v>0</v>
      </c>
      <c r="G18" s="39">
        <v>0</v>
      </c>
      <c r="H18" s="41">
        <f>I18/'BCIS Smmary'!$L$6</f>
        <v>0</v>
      </c>
      <c r="I18" s="42">
        <f t="shared" si="4"/>
        <v>0</v>
      </c>
      <c r="O18" s="3"/>
      <c r="P18" s="29"/>
      <c r="Q18" s="218"/>
      <c r="R18" s="183"/>
      <c r="S18" s="266"/>
      <c r="T18" s="280">
        <f t="shared" si="1"/>
        <v>0</v>
      </c>
      <c r="U18" s="183"/>
      <c r="V18" s="266"/>
      <c r="W18" s="280">
        <f t="shared" si="2"/>
        <v>0</v>
      </c>
      <c r="X18" s="94"/>
      <c r="Y18" s="94"/>
      <c r="Z18" s="280">
        <f t="shared" si="3"/>
        <v>0</v>
      </c>
    </row>
    <row r="19" spans="2:26" ht="13.5" thickBot="1">
      <c r="B19" s="33"/>
      <c r="C19" s="33"/>
      <c r="D19" s="33"/>
      <c r="E19" s="26"/>
      <c r="F19" s="38">
        <v>0</v>
      </c>
      <c r="G19" s="39">
        <v>0</v>
      </c>
      <c r="H19" s="3"/>
      <c r="I19" s="232">
        <f t="shared" si="4"/>
        <v>0</v>
      </c>
      <c r="J19" s="3"/>
      <c r="K19" s="180" t="s">
        <v>140</v>
      </c>
      <c r="L19" s="180" t="s">
        <v>141</v>
      </c>
      <c r="M19" s="180" t="s">
        <v>142</v>
      </c>
      <c r="N19" s="181" t="s">
        <v>143</v>
      </c>
      <c r="O19" s="226"/>
      <c r="P19" s="181" t="s">
        <v>136</v>
      </c>
      <c r="Q19" s="217"/>
      <c r="R19" s="183"/>
      <c r="S19" s="266"/>
      <c r="T19" s="281">
        <f>SUM(T7:T18)</f>
        <v>659.0400000000001</v>
      </c>
      <c r="U19" s="183"/>
      <c r="V19" s="266"/>
      <c r="W19" s="281">
        <f>SUM(W7:W18)</f>
        <v>104.664</v>
      </c>
      <c r="X19" s="94"/>
      <c r="Y19" s="94"/>
      <c r="Z19" s="281">
        <f>SUM(Z7:Z18)</f>
        <v>1314.048</v>
      </c>
    </row>
    <row r="20" spans="3:26" ht="13.5" thickTop="1">
      <c r="C20" s="33"/>
      <c r="D20" s="33"/>
      <c r="E20" s="26"/>
      <c r="F20" s="38">
        <v>0</v>
      </c>
      <c r="G20" s="39">
        <v>0</v>
      </c>
      <c r="H20" s="41">
        <f>I20/'BCIS Smmary'!$L$6</f>
        <v>0</v>
      </c>
      <c r="I20" s="42">
        <f t="shared" si="4"/>
        <v>0</v>
      </c>
      <c r="K20" s="94">
        <v>370.5</v>
      </c>
      <c r="L20" s="94">
        <v>279</v>
      </c>
      <c r="M20" s="94">
        <f>K20</f>
        <v>370.5</v>
      </c>
      <c r="N20" s="94">
        <f>SUM(K20:M20)</f>
        <v>1020</v>
      </c>
      <c r="O20" s="226"/>
      <c r="P20" s="29"/>
      <c r="Q20" s="218"/>
      <c r="R20" s="183"/>
      <c r="S20" s="266"/>
      <c r="T20" s="280"/>
      <c r="U20" s="183"/>
      <c r="V20" s="266"/>
      <c r="W20" s="280"/>
      <c r="X20" s="94"/>
      <c r="Y20" s="94"/>
      <c r="Z20" s="280"/>
    </row>
    <row r="21" spans="2:26" ht="12.75">
      <c r="B21" s="33"/>
      <c r="C21" s="33"/>
      <c r="D21" s="33"/>
      <c r="E21" s="26"/>
      <c r="F21" s="38">
        <v>0</v>
      </c>
      <c r="G21" s="39">
        <v>0</v>
      </c>
      <c r="H21" s="41">
        <f>I21/'BCIS Smmary'!$L$6</f>
        <v>0</v>
      </c>
      <c r="I21" s="42">
        <f t="shared" si="4"/>
        <v>0</v>
      </c>
      <c r="K21" s="94">
        <v>108</v>
      </c>
      <c r="L21" s="94">
        <v>108</v>
      </c>
      <c r="M21" s="94">
        <v>108</v>
      </c>
      <c r="N21" s="94">
        <f>SUM(K21:M21)</f>
        <v>324</v>
      </c>
      <c r="O21" s="226"/>
      <c r="P21" s="29"/>
      <c r="Q21" s="218"/>
      <c r="R21" s="183"/>
      <c r="S21" s="266"/>
      <c r="T21" s="280"/>
      <c r="U21" s="183"/>
      <c r="V21" s="266"/>
      <c r="W21" s="280"/>
      <c r="X21" s="94"/>
      <c r="Y21" s="94"/>
      <c r="Z21" s="280"/>
    </row>
    <row r="22" spans="1:26" ht="12.75">
      <c r="A22" s="9"/>
      <c r="C22" s="33"/>
      <c r="D22" s="33"/>
      <c r="E22" s="26"/>
      <c r="F22" s="38">
        <v>0</v>
      </c>
      <c r="G22" s="39">
        <v>0</v>
      </c>
      <c r="H22" s="41">
        <f>I22/'BCIS Smmary'!$L$6</f>
        <v>0</v>
      </c>
      <c r="I22" s="42">
        <f t="shared" si="4"/>
        <v>0</v>
      </c>
      <c r="K22" s="94">
        <v>558</v>
      </c>
      <c r="L22" s="94">
        <v>547.5</v>
      </c>
      <c r="M22" s="94">
        <v>558</v>
      </c>
      <c r="N22" s="94">
        <f>SUM(K22:M22)</f>
        <v>1663.5</v>
      </c>
      <c r="O22" s="226"/>
      <c r="P22" s="29"/>
      <c r="Q22" s="218"/>
      <c r="R22" s="183"/>
      <c r="S22" s="266"/>
      <c r="T22" s="280"/>
      <c r="U22" s="183"/>
      <c r="V22" s="266"/>
      <c r="W22" s="280"/>
      <c r="X22" s="94"/>
      <c r="Y22" s="94"/>
      <c r="Z22" s="280"/>
    </row>
    <row r="23" spans="1:26" ht="12.75">
      <c r="A23" s="9"/>
      <c r="B23" s="33"/>
      <c r="C23" s="33"/>
      <c r="D23" s="33"/>
      <c r="E23" s="26"/>
      <c r="F23" s="38">
        <v>0</v>
      </c>
      <c r="G23" s="39">
        <v>0</v>
      </c>
      <c r="H23" s="41">
        <f>I23/'BCIS Smmary'!$L$6</f>
        <v>0</v>
      </c>
      <c r="I23" s="42">
        <f t="shared" si="4"/>
        <v>0</v>
      </c>
      <c r="K23" s="94"/>
      <c r="L23" s="94"/>
      <c r="M23" s="94"/>
      <c r="O23" s="226"/>
      <c r="P23" s="29"/>
      <c r="Q23" s="218"/>
      <c r="R23" s="183"/>
      <c r="S23" s="266"/>
      <c r="T23" s="280"/>
      <c r="U23" s="183"/>
      <c r="V23" s="266"/>
      <c r="W23" s="280"/>
      <c r="X23" s="94"/>
      <c r="Y23" s="94"/>
      <c r="Z23" s="280"/>
    </row>
    <row r="24" spans="2:26" ht="12.75">
      <c r="B24" s="179"/>
      <c r="E24" s="3"/>
      <c r="F24" s="230">
        <v>0</v>
      </c>
      <c r="G24" s="231">
        <v>0</v>
      </c>
      <c r="H24" s="41">
        <f>I24/'BCIS Smmary'!$L$6</f>
        <v>0</v>
      </c>
      <c r="I24" s="232">
        <f t="shared" si="4"/>
        <v>0</v>
      </c>
      <c r="J24" s="3"/>
      <c r="K24" s="180" t="s">
        <v>146</v>
      </c>
      <c r="L24" s="180" t="s">
        <v>144</v>
      </c>
      <c r="M24" s="180" t="s">
        <v>145</v>
      </c>
      <c r="N24" s="181" t="s">
        <v>143</v>
      </c>
      <c r="O24" s="226"/>
      <c r="P24" s="29"/>
      <c r="Q24" s="218"/>
      <c r="R24" s="183"/>
      <c r="S24" s="266"/>
      <c r="T24" s="266"/>
      <c r="U24" s="183"/>
      <c r="V24" s="266"/>
      <c r="W24" s="266"/>
      <c r="X24" s="94"/>
      <c r="Y24" s="94"/>
      <c r="Z24" s="94"/>
    </row>
    <row r="25" spans="6:26" ht="12.75">
      <c r="F25" s="230">
        <v>0</v>
      </c>
      <c r="G25" s="231">
        <v>0</v>
      </c>
      <c r="H25" s="41">
        <v>0</v>
      </c>
      <c r="I25" s="42">
        <v>0</v>
      </c>
      <c r="K25" s="94">
        <v>408</v>
      </c>
      <c r="L25" s="94">
        <v>502.5</v>
      </c>
      <c r="M25" s="94">
        <f>K25</f>
        <v>408</v>
      </c>
      <c r="N25" s="94">
        <f>SUM(K25:M25)</f>
        <v>1318.5</v>
      </c>
      <c r="O25" s="226"/>
      <c r="P25" s="29"/>
      <c r="Q25" s="218"/>
      <c r="R25" s="183"/>
      <c r="S25" s="266"/>
      <c r="T25" s="266"/>
      <c r="U25" s="183"/>
      <c r="V25" s="266"/>
      <c r="W25" s="266"/>
      <c r="X25" s="94"/>
      <c r="Y25" s="94"/>
      <c r="Z25" s="94"/>
    </row>
    <row r="26" spans="3:26" ht="12.75">
      <c r="C26" s="33"/>
      <c r="D26" s="33"/>
      <c r="E26" s="26"/>
      <c r="F26" s="38">
        <v>0</v>
      </c>
      <c r="G26" s="39">
        <v>0</v>
      </c>
      <c r="H26" s="41">
        <f>I26/'BCIS Smmary'!$L$6</f>
        <v>0</v>
      </c>
      <c r="I26" s="42">
        <f t="shared" si="4"/>
        <v>0</v>
      </c>
      <c r="K26" s="94">
        <v>108</v>
      </c>
      <c r="L26" s="94">
        <v>128</v>
      </c>
      <c r="M26" s="94">
        <v>128</v>
      </c>
      <c r="N26" s="94">
        <f>SUM(K26:M26)</f>
        <v>364</v>
      </c>
      <c r="O26" s="226"/>
      <c r="P26" s="1"/>
      <c r="Q26" s="1"/>
      <c r="R26" s="183"/>
      <c r="S26" s="183"/>
      <c r="T26" s="183"/>
      <c r="U26" s="183"/>
      <c r="V26" s="183"/>
      <c r="W26" s="183"/>
      <c r="X26" s="94"/>
      <c r="Y26" s="94"/>
      <c r="Z26" s="94"/>
    </row>
    <row r="27" spans="1:26" ht="12.75">
      <c r="A27" s="9"/>
      <c r="C27" s="33"/>
      <c r="D27" s="33"/>
      <c r="E27" s="26"/>
      <c r="F27" s="38">
        <v>0</v>
      </c>
      <c r="G27" s="39">
        <v>0</v>
      </c>
      <c r="H27" s="41">
        <f>I27/'BCIS Smmary'!$L$6</f>
        <v>0</v>
      </c>
      <c r="I27" s="42">
        <f t="shared" si="4"/>
        <v>0</v>
      </c>
      <c r="K27" s="94">
        <v>741</v>
      </c>
      <c r="L27" s="94">
        <v>781.5</v>
      </c>
      <c r="M27" s="94">
        <v>741</v>
      </c>
      <c r="N27" s="94">
        <f>SUM(K27:M27)</f>
        <v>2263.5</v>
      </c>
      <c r="O27" s="226"/>
      <c r="P27" s="29"/>
      <c r="Q27" s="1"/>
      <c r="R27" s="183"/>
      <c r="S27" s="266"/>
      <c r="T27" s="183"/>
      <c r="U27" s="183"/>
      <c r="V27" s="266"/>
      <c r="W27" s="183"/>
      <c r="X27" s="94"/>
      <c r="Y27" s="94"/>
      <c r="Z27" s="94"/>
    </row>
    <row r="28" spans="1:26" ht="15">
      <c r="A28" s="9"/>
      <c r="B28" s="96"/>
      <c r="C28" s="94"/>
      <c r="D28" s="33"/>
      <c r="E28" s="26"/>
      <c r="F28" s="38">
        <v>0</v>
      </c>
      <c r="G28" s="39">
        <v>0</v>
      </c>
      <c r="H28" s="41">
        <f>I28/'BCIS Smmary'!$L$6</f>
        <v>0</v>
      </c>
      <c r="I28" s="42">
        <f t="shared" si="4"/>
        <v>0</v>
      </c>
      <c r="O28" s="226"/>
      <c r="P28" s="1"/>
      <c r="Q28" s="1"/>
      <c r="R28" s="183"/>
      <c r="S28" s="183"/>
      <c r="T28" s="183"/>
      <c r="U28" s="94"/>
      <c r="V28" s="94"/>
      <c r="W28" s="94"/>
      <c r="X28" s="94"/>
      <c r="Y28" s="94"/>
      <c r="Z28" s="94"/>
    </row>
    <row r="29" spans="1:20" ht="12.75">
      <c r="A29" s="9"/>
      <c r="B29" s="33"/>
      <c r="C29" s="33"/>
      <c r="D29" s="33"/>
      <c r="E29" s="26"/>
      <c r="F29" s="38">
        <v>0</v>
      </c>
      <c r="G29" s="39">
        <v>0</v>
      </c>
      <c r="H29" s="41">
        <f>I29/'BCIS Smmary'!$L$6</f>
        <v>0</v>
      </c>
      <c r="I29" s="42">
        <f t="shared" si="4"/>
        <v>0</v>
      </c>
      <c r="O29" s="226"/>
      <c r="P29" s="1"/>
      <c r="Q29" s="1"/>
      <c r="R29" s="1"/>
      <c r="S29" s="1"/>
      <c r="T29" s="1"/>
    </row>
    <row r="30" spans="1:20" ht="12.75">
      <c r="A30" s="9"/>
      <c r="B30" s="33"/>
      <c r="C30" s="33"/>
      <c r="D30" s="33"/>
      <c r="E30" s="26"/>
      <c r="F30" s="38">
        <v>0</v>
      </c>
      <c r="G30" s="39">
        <v>0</v>
      </c>
      <c r="H30" s="41">
        <f>I30/'BCIS Smmary'!$L$6</f>
        <v>0</v>
      </c>
      <c r="I30" s="42">
        <f aca="true" t="shared" si="5" ref="I30:I35">F30*G30</f>
        <v>0</v>
      </c>
      <c r="O30" s="3"/>
      <c r="P30" s="1"/>
      <c r="Q30" s="217"/>
      <c r="R30" s="217"/>
      <c r="S30" s="217"/>
      <c r="T30" s="1"/>
    </row>
    <row r="31" spans="1:20" ht="12.75">
      <c r="A31" s="9"/>
      <c r="B31" s="33"/>
      <c r="C31" s="33"/>
      <c r="D31" s="33"/>
      <c r="E31" s="26"/>
      <c r="F31" s="38">
        <v>0</v>
      </c>
      <c r="G31" s="39">
        <v>0</v>
      </c>
      <c r="H31" s="41">
        <f>I31/'BCIS Smmary'!$L$6</f>
        <v>0</v>
      </c>
      <c r="I31" s="42">
        <f t="shared" si="5"/>
        <v>0</v>
      </c>
      <c r="O31" s="3"/>
      <c r="P31" s="1"/>
      <c r="Q31" s="1"/>
      <c r="R31" s="217"/>
      <c r="S31" s="217"/>
      <c r="T31" s="1"/>
    </row>
    <row r="32" spans="1:20" ht="12.75">
      <c r="A32" s="9"/>
      <c r="B32" s="33"/>
      <c r="C32" s="33"/>
      <c r="D32" s="33"/>
      <c r="E32" s="26"/>
      <c r="F32" s="38">
        <v>0</v>
      </c>
      <c r="G32" s="39">
        <v>0</v>
      </c>
      <c r="H32" s="41">
        <f>I32/'BCIS Smmary'!$L$6</f>
        <v>0</v>
      </c>
      <c r="I32" s="42">
        <f t="shared" si="5"/>
        <v>0</v>
      </c>
      <c r="O32" s="3"/>
      <c r="P32" s="1"/>
      <c r="Q32" s="1"/>
      <c r="R32" s="217"/>
      <c r="S32" s="217"/>
      <c r="T32" s="1"/>
    </row>
    <row r="33" spans="1:20" ht="12.75">
      <c r="A33" s="9"/>
      <c r="B33" s="33"/>
      <c r="C33" s="33"/>
      <c r="D33" s="33"/>
      <c r="E33" s="26"/>
      <c r="F33" s="38">
        <v>0</v>
      </c>
      <c r="G33" s="39">
        <v>0</v>
      </c>
      <c r="H33" s="41">
        <f>I33/'BCIS Smmary'!$L$6</f>
        <v>0</v>
      </c>
      <c r="I33" s="42">
        <f t="shared" si="5"/>
        <v>0</v>
      </c>
      <c r="O33" s="3"/>
      <c r="P33" s="1"/>
      <c r="Q33" s="1"/>
      <c r="R33" s="1"/>
      <c r="S33" s="1"/>
      <c r="T33" s="1"/>
    </row>
    <row r="34" spans="1:20" ht="12.75">
      <c r="A34" s="9"/>
      <c r="B34" s="33"/>
      <c r="C34" s="33"/>
      <c r="D34" s="33"/>
      <c r="E34" s="26"/>
      <c r="F34" s="38">
        <v>0</v>
      </c>
      <c r="G34" s="39">
        <v>0</v>
      </c>
      <c r="H34" s="41">
        <f>I34/'BCIS Smmary'!$L$6</f>
        <v>0</v>
      </c>
      <c r="I34" s="42">
        <f t="shared" si="5"/>
        <v>0</v>
      </c>
      <c r="O34" s="3"/>
      <c r="P34" s="1"/>
      <c r="Q34" s="1"/>
      <c r="R34" s="1"/>
      <c r="S34" s="1"/>
      <c r="T34" s="1"/>
    </row>
    <row r="35" spans="1:9" ht="12.75">
      <c r="A35" s="9"/>
      <c r="B35" s="33"/>
      <c r="C35" s="33"/>
      <c r="D35" s="33"/>
      <c r="E35" s="26"/>
      <c r="F35" s="38">
        <v>0</v>
      </c>
      <c r="G35" s="39">
        <v>0</v>
      </c>
      <c r="H35" s="41">
        <f>I35/'BCIS Smmary'!$L$6</f>
        <v>0</v>
      </c>
      <c r="I35" s="42">
        <f t="shared" si="5"/>
        <v>0</v>
      </c>
    </row>
    <row r="36" spans="1:9" ht="12.75">
      <c r="A36" s="9"/>
      <c r="B36" s="33"/>
      <c r="C36" s="7"/>
      <c r="D36" s="33"/>
      <c r="E36" s="26"/>
      <c r="F36" s="38">
        <v>0</v>
      </c>
      <c r="G36" s="39">
        <v>0</v>
      </c>
      <c r="H36" s="41">
        <f>I36/'BCIS Smmary'!$L$6</f>
        <v>0</v>
      </c>
      <c r="I36" s="42">
        <f aca="true" t="shared" si="6" ref="I36:I42">F36*G36</f>
        <v>0</v>
      </c>
    </row>
    <row r="37" spans="1:9" ht="12.75">
      <c r="A37" s="9"/>
      <c r="B37" s="33"/>
      <c r="C37" s="7"/>
      <c r="D37" s="7"/>
      <c r="E37" s="6"/>
      <c r="F37" s="38">
        <v>0</v>
      </c>
      <c r="G37" s="39">
        <v>0</v>
      </c>
      <c r="H37" s="41">
        <f>I37/'BCIS Smmary'!$L$6</f>
        <v>0</v>
      </c>
      <c r="I37" s="42">
        <f t="shared" si="6"/>
        <v>0</v>
      </c>
    </row>
    <row r="38" spans="1:9" ht="12.75">
      <c r="A38" s="9"/>
      <c r="B38" s="33"/>
      <c r="C38" s="7"/>
      <c r="D38" s="7"/>
      <c r="E38" s="6"/>
      <c r="F38" s="38">
        <v>0</v>
      </c>
      <c r="G38" s="39">
        <v>0</v>
      </c>
      <c r="H38" s="41">
        <f>I38/'BCIS Smmary'!$L$6</f>
        <v>0</v>
      </c>
      <c r="I38" s="42">
        <f t="shared" si="6"/>
        <v>0</v>
      </c>
    </row>
    <row r="39" spans="1:9" ht="12.75">
      <c r="A39" s="9"/>
      <c r="B39" s="33"/>
      <c r="C39" s="7"/>
      <c r="D39" s="33"/>
      <c r="E39" s="26"/>
      <c r="F39" s="38">
        <v>0</v>
      </c>
      <c r="G39" s="39">
        <v>0</v>
      </c>
      <c r="H39" s="41">
        <f>I39/'BCIS Smmary'!$L$6</f>
        <v>0</v>
      </c>
      <c r="I39" s="42">
        <f t="shared" si="6"/>
        <v>0</v>
      </c>
    </row>
    <row r="40" spans="1:9" ht="12.75">
      <c r="A40" s="9"/>
      <c r="B40" s="33"/>
      <c r="C40" s="7"/>
      <c r="D40" s="33"/>
      <c r="E40" s="26"/>
      <c r="F40" s="38">
        <v>0</v>
      </c>
      <c r="G40" s="39">
        <v>0</v>
      </c>
      <c r="H40" s="41">
        <f>I40/'BCIS Smmary'!$L$6</f>
        <v>0</v>
      </c>
      <c r="I40" s="42">
        <f t="shared" si="6"/>
        <v>0</v>
      </c>
    </row>
    <row r="41" spans="1:9" ht="12.75">
      <c r="A41" s="9"/>
      <c r="B41" s="33"/>
      <c r="C41" s="7"/>
      <c r="D41" s="33"/>
      <c r="E41" s="26"/>
      <c r="F41" s="38">
        <v>0</v>
      </c>
      <c r="G41" s="39">
        <v>0</v>
      </c>
      <c r="H41" s="41">
        <f>I41/'BCIS Smmary'!$L$6</f>
        <v>0</v>
      </c>
      <c r="I41" s="42">
        <f t="shared" si="6"/>
        <v>0</v>
      </c>
    </row>
    <row r="42" spans="1:9" ht="12.75">
      <c r="A42" s="9"/>
      <c r="B42" s="33"/>
      <c r="C42" s="7"/>
      <c r="D42" s="7"/>
      <c r="E42" s="6"/>
      <c r="F42" s="38">
        <v>0</v>
      </c>
      <c r="G42" s="39">
        <v>0</v>
      </c>
      <c r="H42" s="41">
        <f>I42/'BCIS Smmary'!$L$6</f>
        <v>0</v>
      </c>
      <c r="I42" s="42">
        <f t="shared" si="6"/>
        <v>0</v>
      </c>
    </row>
    <row r="43" spans="1:9" ht="12.75">
      <c r="A43" s="34" t="s">
        <v>148</v>
      </c>
      <c r="B43" s="35"/>
      <c r="C43" s="35"/>
      <c r="D43" s="35"/>
      <c r="E43" s="18"/>
      <c r="F43" s="25"/>
      <c r="G43" s="25">
        <v>0</v>
      </c>
      <c r="H43" s="74">
        <f>I43/'BCIS Smmary'!$L$6</f>
        <v>44.75822384363903</v>
      </c>
      <c r="I43" s="31">
        <f>SUM(I4:I42)</f>
        <v>101584.16</v>
      </c>
    </row>
    <row r="44" spans="1:10" ht="12.75">
      <c r="A44" s="9"/>
      <c r="B44" s="33"/>
      <c r="C44" s="1"/>
      <c r="D44" s="1"/>
      <c r="E44" s="1"/>
      <c r="F44" s="1"/>
      <c r="G44" s="1"/>
      <c r="H44" s="1"/>
      <c r="I44" s="1"/>
      <c r="J44" s="1"/>
    </row>
    <row r="45" spans="1:9" ht="12.75">
      <c r="A45" s="9"/>
      <c r="B45" s="33"/>
      <c r="C45" s="1"/>
      <c r="D45" s="1"/>
      <c r="E45" s="1"/>
      <c r="F45" s="1"/>
      <c r="G45" s="1"/>
      <c r="H45" s="1"/>
      <c r="I45" s="1"/>
    </row>
    <row r="46" spans="1:2" ht="12.75">
      <c r="A46" s="9"/>
      <c r="B46" s="33"/>
    </row>
  </sheetData>
  <printOptions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&amp;L&amp;F&amp;C11&amp;R&amp;F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47"/>
  <sheetViews>
    <sheetView workbookViewId="0" topLeftCell="B1">
      <selection activeCell="C7" sqref="C7:I13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0.140625" style="0" customWidth="1"/>
    <col min="4" max="4" width="21.8515625" style="52" customWidth="1"/>
    <col min="5" max="5" width="5.7109375" style="0" customWidth="1"/>
    <col min="6" max="6" width="9.28125" style="0" bestFit="1" customWidth="1"/>
    <col min="7" max="7" width="10.8515625" style="0" bestFit="1" customWidth="1"/>
    <col min="8" max="8" width="10.7109375" style="0" customWidth="1"/>
    <col min="9" max="9" width="12.140625" style="0" customWidth="1"/>
    <col min="10" max="10" width="10.28125" style="0" bestFit="1" customWidth="1"/>
  </cols>
  <sheetData>
    <row r="1" spans="1:9" ht="12.75">
      <c r="A1" s="57" t="s">
        <v>10</v>
      </c>
      <c r="B1" s="58"/>
      <c r="C1" s="58"/>
      <c r="D1" s="80" t="s">
        <v>45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51"/>
      <c r="E2" s="17" t="s">
        <v>0</v>
      </c>
      <c r="F2" s="15" t="s">
        <v>4</v>
      </c>
      <c r="G2" s="16" t="s">
        <v>4</v>
      </c>
      <c r="H2" s="15" t="s">
        <v>34</v>
      </c>
      <c r="I2" s="16" t="s">
        <v>1</v>
      </c>
    </row>
    <row r="3" spans="1:9" ht="12.75">
      <c r="A3" s="6"/>
      <c r="B3" s="7"/>
      <c r="C3" s="7"/>
      <c r="D3" s="51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7" ht="12.75">
      <c r="A4" s="18"/>
      <c r="B4" s="13"/>
      <c r="C4" s="13"/>
      <c r="D4" s="5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  <c r="Q4" t="s">
        <v>353</v>
      </c>
    </row>
    <row r="5" spans="1:17" s="30" customFormat="1" ht="12.75">
      <c r="A5" s="9"/>
      <c r="B5" s="33"/>
      <c r="C5" s="33"/>
      <c r="D5" s="50"/>
      <c r="E5" s="26"/>
      <c r="F5" s="38"/>
      <c r="G5" s="39"/>
      <c r="H5" s="41" t="s">
        <v>8</v>
      </c>
      <c r="I5" s="233"/>
      <c r="J5" s="3"/>
      <c r="K5" s="1"/>
      <c r="L5" s="213"/>
      <c r="M5" s="252"/>
      <c r="N5" s="251" t="s">
        <v>181</v>
      </c>
      <c r="O5" s="251" t="s">
        <v>182</v>
      </c>
      <c r="P5" s="251" t="s">
        <v>183</v>
      </c>
      <c r="Q5" s="179" t="s">
        <v>354</v>
      </c>
    </row>
    <row r="6" spans="1:17" ht="12.75">
      <c r="A6" s="9"/>
      <c r="B6" s="93" t="s">
        <v>180</v>
      </c>
      <c r="C6" s="7"/>
      <c r="D6" s="51"/>
      <c r="E6" s="6"/>
      <c r="F6" s="8">
        <v>0</v>
      </c>
      <c r="G6" s="12">
        <v>0</v>
      </c>
      <c r="H6" s="22">
        <f>I6/'BCIS Smmary'!$L$6</f>
        <v>0</v>
      </c>
      <c r="I6" s="187">
        <f aca="true" t="shared" si="0" ref="I6:I42">F6*G6</f>
        <v>0</v>
      </c>
      <c r="J6" s="3"/>
      <c r="M6" s="283" t="s">
        <v>137</v>
      </c>
      <c r="N6" s="1">
        <v>23</v>
      </c>
      <c r="O6" s="29"/>
      <c r="P6" s="29"/>
      <c r="Q6">
        <v>1</v>
      </c>
    </row>
    <row r="7" spans="1:17" ht="12.75">
      <c r="A7" s="9"/>
      <c r="B7" s="7"/>
      <c r="C7" s="50" t="s">
        <v>355</v>
      </c>
      <c r="E7" s="6" t="s">
        <v>165</v>
      </c>
      <c r="F7" s="8">
        <v>0</v>
      </c>
      <c r="G7" s="12">
        <v>350</v>
      </c>
      <c r="H7" s="22">
        <f>I7/'BCIS Smmary'!$L$6</f>
        <v>0</v>
      </c>
      <c r="I7" s="187">
        <f t="shared" si="0"/>
        <v>0</v>
      </c>
      <c r="J7" s="3"/>
      <c r="L7" s="217"/>
      <c r="M7" s="1" t="s">
        <v>38</v>
      </c>
      <c r="N7" s="1">
        <v>32</v>
      </c>
      <c r="O7">
        <v>2</v>
      </c>
      <c r="Q7">
        <v>0</v>
      </c>
    </row>
    <row r="8" spans="1:17" ht="12.75">
      <c r="A8" s="9"/>
      <c r="B8" s="33"/>
      <c r="C8" s="51" t="s">
        <v>181</v>
      </c>
      <c r="E8" s="6" t="s">
        <v>165</v>
      </c>
      <c r="F8" s="8">
        <f>N14</f>
        <v>143</v>
      </c>
      <c r="G8" s="12">
        <v>250</v>
      </c>
      <c r="H8" s="22">
        <f>I8/'BCIS Smmary'!$L$6</f>
        <v>15.751535499334691</v>
      </c>
      <c r="I8" s="187">
        <f t="shared" si="0"/>
        <v>35750</v>
      </c>
      <c r="J8" s="3"/>
      <c r="L8" s="217"/>
      <c r="M8" s="1" t="s">
        <v>132</v>
      </c>
      <c r="N8" s="1">
        <v>34</v>
      </c>
      <c r="O8">
        <v>2</v>
      </c>
      <c r="P8">
        <v>1</v>
      </c>
      <c r="Q8">
        <v>0</v>
      </c>
    </row>
    <row r="9" spans="1:17" s="30" customFormat="1" ht="12.75">
      <c r="A9" s="9"/>
      <c r="B9" s="33"/>
      <c r="C9" s="51" t="s">
        <v>182</v>
      </c>
      <c r="E9" s="6" t="s">
        <v>165</v>
      </c>
      <c r="F9" s="8">
        <f>O14</f>
        <v>4</v>
      </c>
      <c r="G9" s="12">
        <v>400</v>
      </c>
      <c r="H9" s="22">
        <f>I9/'BCIS Smmary'!$L$6</f>
        <v>0.7049638265436505</v>
      </c>
      <c r="I9" s="187">
        <f t="shared" si="0"/>
        <v>1600</v>
      </c>
      <c r="J9" s="226"/>
      <c r="K9" s="217"/>
      <c r="L9" s="217"/>
      <c r="M9" s="29" t="s">
        <v>133</v>
      </c>
      <c r="N9" s="29">
        <v>29</v>
      </c>
      <c r="P9" s="30">
        <v>0</v>
      </c>
      <c r="Q9" s="30">
        <v>0</v>
      </c>
    </row>
    <row r="10" spans="1:17" ht="12.75">
      <c r="A10" s="9"/>
      <c r="B10" s="95"/>
      <c r="C10" s="50" t="s">
        <v>183</v>
      </c>
      <c r="E10" s="6" t="s">
        <v>165</v>
      </c>
      <c r="F10" s="8">
        <f>P14</f>
        <v>1</v>
      </c>
      <c r="G10" s="12">
        <v>1500</v>
      </c>
      <c r="H10" s="22">
        <f>I10/'BCIS Smmary'!$L$6</f>
        <v>0.6609035873846724</v>
      </c>
      <c r="I10" s="187">
        <f t="shared" si="0"/>
        <v>1500</v>
      </c>
      <c r="J10" s="226"/>
      <c r="K10" s="217"/>
      <c r="L10" s="187"/>
      <c r="M10" s="29" t="s">
        <v>134</v>
      </c>
      <c r="N10" s="29">
        <v>25</v>
      </c>
      <c r="P10">
        <v>0</v>
      </c>
      <c r="Q10" s="30">
        <v>1</v>
      </c>
    </row>
    <row r="11" spans="1:17" ht="12.75">
      <c r="A11" s="9"/>
      <c r="B11" s="33"/>
      <c r="C11" s="33" t="s">
        <v>356</v>
      </c>
      <c r="D11" s="51"/>
      <c r="E11" s="6" t="s">
        <v>165</v>
      </c>
      <c r="F11" s="8">
        <f>Q14</f>
        <v>4</v>
      </c>
      <c r="G11" s="12">
        <v>750</v>
      </c>
      <c r="H11" s="22">
        <f>I11/'BCIS Smmary'!$L$6</f>
        <v>1.3218071747693447</v>
      </c>
      <c r="I11" s="187">
        <f t="shared" si="0"/>
        <v>3000</v>
      </c>
      <c r="J11" s="3"/>
      <c r="K11" s="1"/>
      <c r="L11" s="187"/>
      <c r="M11" s="29" t="s">
        <v>135</v>
      </c>
      <c r="N11" s="29">
        <v>0</v>
      </c>
      <c r="Q11" s="30">
        <v>2</v>
      </c>
    </row>
    <row r="12" spans="1:14" ht="12.75">
      <c r="A12" s="9"/>
      <c r="B12" s="33"/>
      <c r="C12" s="33"/>
      <c r="D12" s="51"/>
      <c r="E12" s="6"/>
      <c r="F12" s="8">
        <v>0</v>
      </c>
      <c r="G12" s="12">
        <v>0</v>
      </c>
      <c r="H12" s="22">
        <f>I12/'BCIS Smmary'!$L$6</f>
        <v>0</v>
      </c>
      <c r="I12" s="187">
        <f>F12*G12</f>
        <v>0</v>
      </c>
      <c r="J12" s="226"/>
      <c r="K12" s="29"/>
      <c r="L12" s="187"/>
      <c r="M12" s="29"/>
      <c r="N12" s="29"/>
    </row>
    <row r="13" spans="2:14" ht="12.75">
      <c r="B13" s="33"/>
      <c r="C13" s="33"/>
      <c r="D13" s="50"/>
      <c r="E13" s="6"/>
      <c r="F13" s="8">
        <v>0</v>
      </c>
      <c r="G13" s="12">
        <v>0</v>
      </c>
      <c r="H13" s="22">
        <f>I13/'BCIS Smmary'!$L$6</f>
        <v>0</v>
      </c>
      <c r="I13" s="187">
        <f>F13*G13</f>
        <v>0</v>
      </c>
      <c r="J13" s="226"/>
      <c r="K13" s="29"/>
      <c r="L13" s="187"/>
      <c r="M13" s="29"/>
      <c r="N13" s="29"/>
    </row>
    <row r="14" spans="2:17" ht="13.5" thickBot="1">
      <c r="B14" s="33"/>
      <c r="C14" s="33"/>
      <c r="D14" s="51"/>
      <c r="E14" s="6"/>
      <c r="F14" s="8">
        <v>0</v>
      </c>
      <c r="G14" s="12">
        <v>0</v>
      </c>
      <c r="H14" s="22">
        <f>I14/'BCIS Smmary'!$L$6</f>
        <v>0</v>
      </c>
      <c r="I14" s="187">
        <f t="shared" si="0"/>
        <v>0</v>
      </c>
      <c r="J14" s="226"/>
      <c r="K14" s="29"/>
      <c r="L14" s="187"/>
      <c r="M14" s="29" t="s">
        <v>136</v>
      </c>
      <c r="N14" s="284">
        <f>SUM(N6:N13)</f>
        <v>143</v>
      </c>
      <c r="O14" s="284">
        <f>SUM(O6:O13)</f>
        <v>4</v>
      </c>
      <c r="P14" s="284">
        <f>SUM(P6:P13)</f>
        <v>1</v>
      </c>
      <c r="Q14" s="284">
        <f>SUM(Q6:Q13)</f>
        <v>4</v>
      </c>
    </row>
    <row r="15" spans="4:14" ht="13.5" thickTop="1">
      <c r="D15" s="51"/>
      <c r="E15" s="6"/>
      <c r="F15" s="8">
        <v>0</v>
      </c>
      <c r="G15" s="12">
        <v>0</v>
      </c>
      <c r="H15" s="22">
        <f>I15/'BCIS Smmary'!$L$6</f>
        <v>0</v>
      </c>
      <c r="I15" s="187">
        <f t="shared" si="0"/>
        <v>0</v>
      </c>
      <c r="J15" s="226"/>
      <c r="K15" s="29"/>
      <c r="L15" s="187"/>
      <c r="M15" s="29"/>
      <c r="N15" s="29"/>
    </row>
    <row r="16" spans="1:14" ht="12.75">
      <c r="A16" s="9"/>
      <c r="B16" s="7"/>
      <c r="C16" s="78"/>
      <c r="D16" s="50"/>
      <c r="E16" s="6"/>
      <c r="F16" s="8">
        <v>0</v>
      </c>
      <c r="G16" s="12">
        <v>0</v>
      </c>
      <c r="H16" s="22">
        <f>I16/'BCIS Smmary'!$L$6</f>
        <v>0</v>
      </c>
      <c r="I16" s="187">
        <f t="shared" si="0"/>
        <v>0</v>
      </c>
      <c r="J16" s="3"/>
      <c r="K16" s="29"/>
      <c r="L16" s="187"/>
      <c r="M16" s="29"/>
      <c r="N16" s="29"/>
    </row>
    <row r="17" spans="1:15" ht="12.75">
      <c r="A17" s="9"/>
      <c r="B17" s="7"/>
      <c r="C17" s="33"/>
      <c r="D17" s="182"/>
      <c r="E17" s="26"/>
      <c r="F17" s="8">
        <v>0</v>
      </c>
      <c r="G17" s="12">
        <v>0</v>
      </c>
      <c r="H17" s="22">
        <f>I17/'BCIS Smmary'!$L$6</f>
        <v>0</v>
      </c>
      <c r="I17" s="187">
        <f t="shared" si="0"/>
        <v>0</v>
      </c>
      <c r="J17" s="3"/>
      <c r="K17" s="29"/>
      <c r="L17" s="187"/>
      <c r="M17" s="29"/>
      <c r="N17" s="29"/>
      <c r="O17" s="29"/>
    </row>
    <row r="18" spans="4:16" ht="12.75">
      <c r="D18" s="51"/>
      <c r="E18" s="6"/>
      <c r="F18" s="8">
        <v>0</v>
      </c>
      <c r="G18" s="12">
        <v>0</v>
      </c>
      <c r="H18" s="22">
        <f>I18/'BCIS Smmary'!$L$6</f>
        <v>0</v>
      </c>
      <c r="I18" s="187">
        <f t="shared" si="0"/>
        <v>0</v>
      </c>
      <c r="J18" s="3"/>
      <c r="K18" s="29"/>
      <c r="L18" s="217"/>
      <c r="M18" s="29"/>
      <c r="N18" s="29"/>
      <c r="O18" s="29"/>
      <c r="P18" s="29"/>
    </row>
    <row r="19" spans="4:14" ht="12.75">
      <c r="D19" s="50"/>
      <c r="E19" s="26"/>
      <c r="F19" s="8">
        <v>0</v>
      </c>
      <c r="G19" s="12">
        <v>0</v>
      </c>
      <c r="H19" s="22">
        <f>I19/'BCIS Smmary'!$L$6</f>
        <v>0</v>
      </c>
      <c r="I19" s="187">
        <f t="shared" si="0"/>
        <v>0</v>
      </c>
      <c r="J19" s="226"/>
      <c r="K19" s="29"/>
      <c r="L19" s="217"/>
      <c r="M19" s="29"/>
      <c r="N19" s="29"/>
    </row>
    <row r="20" spans="4:14" ht="12.75">
      <c r="D20" s="182"/>
      <c r="E20" s="26"/>
      <c r="F20" s="8">
        <v>0</v>
      </c>
      <c r="G20" s="12">
        <v>0</v>
      </c>
      <c r="H20" s="22">
        <f>I20/'BCIS Smmary'!$L$6</f>
        <v>0</v>
      </c>
      <c r="I20" s="187">
        <f t="shared" si="0"/>
        <v>0</v>
      </c>
      <c r="J20" s="226"/>
      <c r="K20" s="29"/>
      <c r="L20" s="217"/>
      <c r="M20" s="29"/>
      <c r="N20" s="29"/>
    </row>
    <row r="21" spans="2:16" ht="12.75">
      <c r="B21" s="7"/>
      <c r="C21" s="78"/>
      <c r="D21" s="182"/>
      <c r="E21" s="26"/>
      <c r="F21" s="8">
        <v>0</v>
      </c>
      <c r="G21" s="12">
        <v>0</v>
      </c>
      <c r="H21" s="22">
        <f>I21/'BCIS Smmary'!$L$6</f>
        <v>0</v>
      </c>
      <c r="I21" s="187">
        <f t="shared" si="0"/>
        <v>0</v>
      </c>
      <c r="J21" s="226"/>
      <c r="K21" s="29"/>
      <c r="L21" s="217"/>
      <c r="M21" s="29"/>
      <c r="N21" s="29"/>
      <c r="O21" s="29"/>
      <c r="P21" s="29"/>
    </row>
    <row r="22" spans="2:15" ht="12.75">
      <c r="B22" s="7"/>
      <c r="C22" s="33"/>
      <c r="D22" s="182"/>
      <c r="E22" s="26"/>
      <c r="F22" s="8">
        <v>0</v>
      </c>
      <c r="G22" s="12">
        <v>0</v>
      </c>
      <c r="H22" s="22">
        <f>I22/'BCIS Smmary'!$L$6</f>
        <v>0</v>
      </c>
      <c r="I22" s="187">
        <f t="shared" si="0"/>
        <v>0</v>
      </c>
      <c r="J22" s="226"/>
      <c r="K22" s="29"/>
      <c r="L22" s="217"/>
      <c r="M22" s="29"/>
      <c r="N22" s="29"/>
      <c r="O22" s="29"/>
    </row>
    <row r="23" spans="2:16" s="49" customFormat="1" ht="12.75">
      <c r="B23"/>
      <c r="C23"/>
      <c r="D23" s="51"/>
      <c r="E23" s="6"/>
      <c r="F23" s="8">
        <v>0</v>
      </c>
      <c r="G23" s="12">
        <v>0</v>
      </c>
      <c r="H23" s="22">
        <f>I23/'BCIS Smmary'!$L$6</f>
        <v>0</v>
      </c>
      <c r="I23" s="187">
        <f t="shared" si="0"/>
        <v>0</v>
      </c>
      <c r="J23" s="226"/>
      <c r="K23" s="29"/>
      <c r="L23" s="217"/>
      <c r="M23" s="29"/>
      <c r="N23" s="29"/>
      <c r="O23" s="45"/>
      <c r="P23" s="45"/>
    </row>
    <row r="24" spans="4:16" ht="12.75">
      <c r="D24" s="50"/>
      <c r="E24" s="26"/>
      <c r="F24" s="8">
        <v>0</v>
      </c>
      <c r="G24" s="12">
        <v>0</v>
      </c>
      <c r="H24" s="22">
        <f>I24/'BCIS Smmary'!$L$6</f>
        <v>0</v>
      </c>
      <c r="I24" s="187">
        <f t="shared" si="0"/>
        <v>0</v>
      </c>
      <c r="J24" s="226"/>
      <c r="K24" s="1"/>
      <c r="L24" s="217"/>
      <c r="M24" s="217"/>
      <c r="N24" s="217"/>
      <c r="O24" s="217"/>
      <c r="P24" s="217"/>
    </row>
    <row r="25" spans="4:16" ht="12.75">
      <c r="D25" s="182"/>
      <c r="E25" s="26"/>
      <c r="F25" s="8">
        <v>0</v>
      </c>
      <c r="G25" s="12">
        <v>0</v>
      </c>
      <c r="H25" s="22">
        <f>I25/'BCIS Smmary'!$L$6</f>
        <v>0</v>
      </c>
      <c r="I25" s="187">
        <f t="shared" si="0"/>
        <v>0</v>
      </c>
      <c r="J25" s="226"/>
      <c r="K25" s="1"/>
      <c r="L25" s="217"/>
      <c r="M25" s="217"/>
      <c r="N25" s="1"/>
      <c r="O25" s="1"/>
      <c r="P25" s="1"/>
    </row>
    <row r="26" spans="2:14" ht="12.75">
      <c r="B26" s="7"/>
      <c r="C26" s="78"/>
      <c r="D26" s="182"/>
      <c r="E26" s="26"/>
      <c r="F26" s="8">
        <v>0</v>
      </c>
      <c r="G26" s="12">
        <v>0</v>
      </c>
      <c r="H26" s="22">
        <f>I26/'BCIS Smmary'!$L$6</f>
        <v>0</v>
      </c>
      <c r="I26" s="187">
        <f t="shared" si="0"/>
        <v>0</v>
      </c>
      <c r="J26" s="226"/>
      <c r="K26" s="1"/>
      <c r="L26" s="217"/>
      <c r="M26" s="1"/>
      <c r="N26" s="1"/>
    </row>
    <row r="27" spans="2:14" ht="12.75">
      <c r="B27" s="7"/>
      <c r="C27" s="33"/>
      <c r="D27" s="182"/>
      <c r="E27" s="26"/>
      <c r="F27" s="8">
        <v>0</v>
      </c>
      <c r="G27" s="12">
        <v>0</v>
      </c>
      <c r="H27" s="22">
        <f>I27/'BCIS Smmary'!$L$6</f>
        <v>0</v>
      </c>
      <c r="I27" s="187">
        <f t="shared" si="0"/>
        <v>0</v>
      </c>
      <c r="J27" s="226"/>
      <c r="K27" s="1"/>
      <c r="L27" s="217"/>
      <c r="M27" s="1"/>
      <c r="N27" s="1"/>
    </row>
    <row r="28" spans="2:14" s="49" customFormat="1" ht="12.75">
      <c r="B28"/>
      <c r="C28"/>
      <c r="D28" s="51"/>
      <c r="E28" s="6"/>
      <c r="F28" s="8">
        <v>0</v>
      </c>
      <c r="G28" s="12">
        <v>0</v>
      </c>
      <c r="H28" s="22">
        <f>I28/'BCIS Smmary'!$L$6</f>
        <v>0</v>
      </c>
      <c r="I28" s="187">
        <f t="shared" si="0"/>
        <v>0</v>
      </c>
      <c r="J28" s="226"/>
      <c r="K28" s="1"/>
      <c r="L28" s="217"/>
      <c r="M28" s="1"/>
      <c r="N28" s="1"/>
    </row>
    <row r="29" spans="4:14" ht="12.75">
      <c r="D29" s="50"/>
      <c r="E29" s="26"/>
      <c r="F29" s="8">
        <v>0</v>
      </c>
      <c r="G29" s="12">
        <v>0</v>
      </c>
      <c r="H29" s="22">
        <f>I29/'BCIS Smmary'!$L$6</f>
        <v>0</v>
      </c>
      <c r="I29" s="187">
        <f t="shared" si="0"/>
        <v>0</v>
      </c>
      <c r="J29" s="226"/>
      <c r="K29" s="1"/>
      <c r="L29" s="217"/>
      <c r="M29" s="1"/>
      <c r="N29" s="1"/>
    </row>
    <row r="30" spans="4:14" ht="12.75">
      <c r="D30" s="182"/>
      <c r="E30" s="26"/>
      <c r="F30" s="8">
        <v>0</v>
      </c>
      <c r="G30" s="12">
        <v>0</v>
      </c>
      <c r="H30" s="22">
        <f>I30/'BCIS Smmary'!$L$6</f>
        <v>0</v>
      </c>
      <c r="I30" s="187">
        <f t="shared" si="0"/>
        <v>0</v>
      </c>
      <c r="J30" s="226"/>
      <c r="K30" s="1"/>
      <c r="L30" s="217"/>
      <c r="M30" s="1"/>
      <c r="N30" s="1"/>
    </row>
    <row r="31" spans="2:14" ht="12.75">
      <c r="B31" s="7"/>
      <c r="C31" s="78"/>
      <c r="D31" s="182"/>
      <c r="E31" s="26"/>
      <c r="F31" s="8">
        <v>0</v>
      </c>
      <c r="G31" s="12">
        <v>0</v>
      </c>
      <c r="H31" s="22">
        <f>I31/'BCIS Smmary'!$L$6</f>
        <v>0</v>
      </c>
      <c r="I31" s="187">
        <f t="shared" si="0"/>
        <v>0</v>
      </c>
      <c r="J31" s="226"/>
      <c r="K31" s="1"/>
      <c r="L31" s="217"/>
      <c r="M31" s="1"/>
      <c r="N31" s="1"/>
    </row>
    <row r="32" spans="2:14" ht="12.75">
      <c r="B32" s="7"/>
      <c r="C32" s="33"/>
      <c r="D32" s="182"/>
      <c r="E32" s="26"/>
      <c r="F32" s="8">
        <v>0</v>
      </c>
      <c r="G32" s="12">
        <v>0</v>
      </c>
      <c r="H32" s="22">
        <f>I32/'BCIS Smmary'!$L$6</f>
        <v>0</v>
      </c>
      <c r="I32" s="187">
        <f t="shared" si="0"/>
        <v>0</v>
      </c>
      <c r="J32" s="226"/>
      <c r="K32" s="1"/>
      <c r="L32" s="217"/>
      <c r="M32" s="1"/>
      <c r="N32" s="1"/>
    </row>
    <row r="33" spans="2:14" s="49" customFormat="1" ht="12.75">
      <c r="B33"/>
      <c r="C33"/>
      <c r="D33" s="51"/>
      <c r="E33" s="6"/>
      <c r="F33" s="8">
        <v>0</v>
      </c>
      <c r="G33" s="12">
        <v>0</v>
      </c>
      <c r="H33" s="22">
        <f>I33/'BCIS Smmary'!$L$6</f>
        <v>0</v>
      </c>
      <c r="I33" s="187">
        <f t="shared" si="0"/>
        <v>0</v>
      </c>
      <c r="J33" s="226"/>
      <c r="K33" s="235"/>
      <c r="L33" s="235"/>
      <c r="M33" s="235"/>
      <c r="N33" s="235"/>
    </row>
    <row r="34" spans="4:14" ht="12.75">
      <c r="D34" s="50"/>
      <c r="E34" s="26"/>
      <c r="F34" s="8">
        <v>0</v>
      </c>
      <c r="G34" s="12">
        <v>0</v>
      </c>
      <c r="H34" s="22">
        <f>I34/'BCIS Smmary'!$L$6</f>
        <v>0</v>
      </c>
      <c r="I34" s="187">
        <f t="shared" si="0"/>
        <v>0</v>
      </c>
      <c r="J34" s="226"/>
      <c r="K34" s="1"/>
      <c r="L34" s="217"/>
      <c r="M34" s="1"/>
      <c r="N34" s="1"/>
    </row>
    <row r="35" spans="4:14" ht="12.75">
      <c r="D35" s="182"/>
      <c r="E35" s="26"/>
      <c r="F35" s="8">
        <v>0</v>
      </c>
      <c r="G35" s="12">
        <v>0</v>
      </c>
      <c r="H35" s="22">
        <f>I35/'BCIS Smmary'!$L$6</f>
        <v>0</v>
      </c>
      <c r="I35" s="187">
        <f t="shared" si="0"/>
        <v>0</v>
      </c>
      <c r="J35" s="226"/>
      <c r="K35" s="1"/>
      <c r="L35" s="217"/>
      <c r="M35" s="1"/>
      <c r="N35" s="1"/>
    </row>
    <row r="36" spans="2:14" ht="12.75">
      <c r="B36" s="7"/>
      <c r="C36" s="78"/>
      <c r="D36" s="182"/>
      <c r="E36" s="26"/>
      <c r="F36" s="8">
        <v>0</v>
      </c>
      <c r="G36" s="12">
        <v>0</v>
      </c>
      <c r="H36" s="22">
        <f>I36/'BCIS Smmary'!$L$6</f>
        <v>0</v>
      </c>
      <c r="I36" s="187">
        <f t="shared" si="0"/>
        <v>0</v>
      </c>
      <c r="J36" s="226"/>
      <c r="K36" s="1"/>
      <c r="L36" s="217"/>
      <c r="M36" s="1"/>
      <c r="N36" s="1"/>
    </row>
    <row r="37" spans="2:14" ht="12.75">
      <c r="B37" s="7"/>
      <c r="C37" s="33"/>
      <c r="D37" s="182"/>
      <c r="E37" s="26"/>
      <c r="F37" s="8">
        <v>0</v>
      </c>
      <c r="G37" s="12">
        <v>0</v>
      </c>
      <c r="H37" s="22">
        <f>I37/'BCIS Smmary'!$L$6</f>
        <v>0</v>
      </c>
      <c r="I37" s="187">
        <f t="shared" si="0"/>
        <v>0</v>
      </c>
      <c r="J37" s="226"/>
      <c r="K37" s="1"/>
      <c r="L37" s="217"/>
      <c r="M37" s="1"/>
      <c r="N37" s="1"/>
    </row>
    <row r="38" spans="2:14" s="49" customFormat="1" ht="12.75">
      <c r="B38"/>
      <c r="C38"/>
      <c r="D38" s="51"/>
      <c r="E38" s="6"/>
      <c r="F38" s="8">
        <v>0</v>
      </c>
      <c r="G38" s="12">
        <v>0</v>
      </c>
      <c r="H38" s="22">
        <f>I38/'BCIS Smmary'!$L$6</f>
        <v>0</v>
      </c>
      <c r="I38" s="187">
        <f t="shared" si="0"/>
        <v>0</v>
      </c>
      <c r="J38" s="226"/>
      <c r="K38" s="235"/>
      <c r="L38" s="235"/>
      <c r="M38" s="235"/>
      <c r="N38" s="235"/>
    </row>
    <row r="39" spans="4:14" ht="12.75">
      <c r="D39" s="50"/>
      <c r="E39" s="26"/>
      <c r="F39" s="8">
        <v>0</v>
      </c>
      <c r="G39" s="12">
        <v>0</v>
      </c>
      <c r="H39" s="22">
        <f>I39/'BCIS Smmary'!$L$6</f>
        <v>0</v>
      </c>
      <c r="I39" s="187">
        <f t="shared" si="0"/>
        <v>0</v>
      </c>
      <c r="J39" s="226"/>
      <c r="K39" s="1"/>
      <c r="L39" s="217"/>
      <c r="M39" s="1"/>
      <c r="N39" s="1"/>
    </row>
    <row r="40" spans="4:14" ht="12.75">
      <c r="D40" s="182"/>
      <c r="E40" s="26"/>
      <c r="F40" s="8">
        <v>0</v>
      </c>
      <c r="G40" s="12">
        <v>0</v>
      </c>
      <c r="H40" s="22">
        <f>I40/'BCIS Smmary'!$L$6</f>
        <v>0</v>
      </c>
      <c r="I40" s="187">
        <f t="shared" si="0"/>
        <v>0</v>
      </c>
      <c r="J40" s="226"/>
      <c r="K40" s="1"/>
      <c r="L40" s="217"/>
      <c r="M40" s="1"/>
      <c r="N40" s="1"/>
    </row>
    <row r="41" spans="1:14" ht="12.75">
      <c r="A41" s="9"/>
      <c r="B41" s="7"/>
      <c r="C41" s="7"/>
      <c r="D41" s="51"/>
      <c r="E41" s="6"/>
      <c r="F41" s="8">
        <v>0</v>
      </c>
      <c r="G41" s="12">
        <v>0</v>
      </c>
      <c r="H41" s="22">
        <f>I41/'BCIS Smmary'!$L$6</f>
        <v>0</v>
      </c>
      <c r="I41" s="187">
        <f t="shared" si="0"/>
        <v>0</v>
      </c>
      <c r="J41" s="226"/>
      <c r="K41" s="1"/>
      <c r="L41" s="217"/>
      <c r="M41" s="1"/>
      <c r="N41" s="1"/>
    </row>
    <row r="42" spans="1:14" ht="12.75">
      <c r="A42" s="9"/>
      <c r="B42" s="7"/>
      <c r="C42" s="7"/>
      <c r="D42" s="50"/>
      <c r="E42" s="26"/>
      <c r="F42" s="8">
        <v>0</v>
      </c>
      <c r="G42" s="12">
        <v>0</v>
      </c>
      <c r="H42" s="22">
        <f>I42/'BCIS Smmary'!$L$6</f>
        <v>0</v>
      </c>
      <c r="I42" s="187">
        <f t="shared" si="0"/>
        <v>0</v>
      </c>
      <c r="J42" s="226"/>
      <c r="K42" s="1"/>
      <c r="L42" s="1"/>
      <c r="M42" s="1"/>
      <c r="N42" s="1"/>
    </row>
    <row r="43" spans="1:14" ht="12.75">
      <c r="A43" s="34" t="s">
        <v>149</v>
      </c>
      <c r="B43" s="35"/>
      <c r="C43" s="35"/>
      <c r="D43" s="35"/>
      <c r="E43" s="18"/>
      <c r="F43" s="25">
        <v>0</v>
      </c>
      <c r="G43" s="25"/>
      <c r="H43" s="32">
        <f>I43/'BCIS Smmary'!$L$6</f>
        <v>18.439210088032358</v>
      </c>
      <c r="I43" s="234">
        <f>SUM(I2:I42)</f>
        <v>41850</v>
      </c>
      <c r="J43" s="3"/>
      <c r="K43" s="1"/>
      <c r="L43" s="217"/>
      <c r="M43" s="217"/>
      <c r="N43" s="217"/>
    </row>
    <row r="44" spans="10:14" ht="12.75">
      <c r="J44" s="3"/>
      <c r="K44" s="1"/>
      <c r="L44" s="1"/>
      <c r="M44" s="217"/>
      <c r="N44" s="217"/>
    </row>
    <row r="45" spans="10:14" ht="12.75">
      <c r="J45" s="3"/>
      <c r="K45" s="1"/>
      <c r="L45" s="1"/>
      <c r="M45" s="217"/>
      <c r="N45" s="217"/>
    </row>
    <row r="46" spans="10:14" ht="12.75">
      <c r="J46" s="3"/>
      <c r="K46" s="1"/>
      <c r="L46" s="1"/>
      <c r="M46" s="1"/>
      <c r="N46" s="1"/>
    </row>
    <row r="47" spans="10:14" ht="12.75">
      <c r="J47" s="3"/>
      <c r="K47" s="1"/>
      <c r="L47" s="1"/>
      <c r="M47" s="1"/>
      <c r="N47" s="1"/>
    </row>
  </sheetData>
  <printOptions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&amp;L&amp;D  &amp;T&amp;C12&amp;R&amp;F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43"/>
  <sheetViews>
    <sheetView workbookViewId="0" topLeftCell="A1">
      <selection activeCell="B6" sqref="B6:I30"/>
    </sheetView>
  </sheetViews>
  <sheetFormatPr defaultColWidth="9.140625" defaultRowHeight="12.75"/>
  <cols>
    <col min="1" max="1" width="3.7109375" style="0" customWidth="1"/>
    <col min="3" max="3" width="9.28125" style="0" bestFit="1" customWidth="1"/>
    <col min="4" max="4" width="30.00390625" style="0" customWidth="1"/>
    <col min="5" max="5" width="6.8515625" style="0" customWidth="1"/>
    <col min="6" max="6" width="9.28125" style="0" bestFit="1" customWidth="1"/>
    <col min="7" max="7" width="12.00390625" style="0" bestFit="1" customWidth="1"/>
    <col min="8" max="8" width="10.140625" style="0" customWidth="1"/>
    <col min="9" max="9" width="13.140625" style="0" customWidth="1"/>
    <col min="10" max="14" width="9.00390625" style="0" customWidth="1"/>
    <col min="15" max="15" width="13.140625" style="0" customWidth="1"/>
    <col min="17" max="17" width="9.28125" style="0" bestFit="1" customWidth="1"/>
    <col min="19" max="19" width="9.28125" style="0" bestFit="1" customWidth="1"/>
  </cols>
  <sheetData>
    <row r="1" spans="1:15" ht="12.75">
      <c r="A1" s="57" t="s">
        <v>10</v>
      </c>
      <c r="B1" s="58"/>
      <c r="C1" s="58"/>
      <c r="D1" s="59" t="s">
        <v>17</v>
      </c>
      <c r="E1" s="58"/>
      <c r="F1" s="58"/>
      <c r="G1" s="58"/>
      <c r="H1" s="58"/>
      <c r="I1" s="61"/>
      <c r="J1" s="216"/>
      <c r="K1" s="216"/>
      <c r="L1" s="216"/>
      <c r="M1" s="216"/>
      <c r="N1" s="216"/>
      <c r="O1" s="216"/>
    </row>
    <row r="2" spans="1:15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  <c r="J2" s="15"/>
      <c r="K2" s="15"/>
      <c r="L2" s="15"/>
      <c r="M2" s="15"/>
      <c r="N2" s="15"/>
      <c r="O2" s="15"/>
    </row>
    <row r="3" spans="1:15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  <c r="J3" s="15"/>
      <c r="K3" s="15"/>
      <c r="L3" s="15"/>
      <c r="M3" s="15"/>
      <c r="N3" s="15"/>
      <c r="O3" s="15"/>
    </row>
    <row r="4" spans="1:15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  <c r="O4" s="15"/>
    </row>
    <row r="5" spans="1:16" ht="12.75">
      <c r="A5" s="9"/>
      <c r="B5" s="95"/>
      <c r="C5" s="7"/>
      <c r="D5" s="7"/>
      <c r="E5" s="6"/>
      <c r="F5" s="8"/>
      <c r="G5" s="12"/>
      <c r="H5" s="22" t="s">
        <v>8</v>
      </c>
      <c r="I5" s="187"/>
      <c r="J5" s="3"/>
      <c r="K5" s="1"/>
      <c r="L5" s="213"/>
      <c r="M5" s="252"/>
      <c r="N5" s="251"/>
      <c r="O5" s="251"/>
      <c r="P5" s="251"/>
    </row>
    <row r="6" spans="1:17" ht="12.75">
      <c r="A6" s="9"/>
      <c r="B6" s="33" t="s">
        <v>184</v>
      </c>
      <c r="C6" s="33"/>
      <c r="D6" s="7"/>
      <c r="E6" s="6" t="s">
        <v>36</v>
      </c>
      <c r="F6" s="8">
        <f>'External walls,Doors and Window'!F6</f>
        <v>1575.79115</v>
      </c>
      <c r="G6" s="12">
        <v>11</v>
      </c>
      <c r="H6" s="22">
        <f>I6/'BCIS Smmary'!$L$6</f>
        <v>7.637270842696134</v>
      </c>
      <c r="I6" s="187">
        <f aca="true" t="shared" si="0" ref="I6:I11">F6*G6</f>
        <v>17333.70265</v>
      </c>
      <c r="J6" s="3"/>
      <c r="K6" s="1"/>
      <c r="L6" s="217"/>
      <c r="M6" s="1"/>
      <c r="N6" s="1"/>
      <c r="O6" s="29"/>
      <c r="P6" s="29"/>
      <c r="Q6" s="1"/>
    </row>
    <row r="7" spans="1:17" ht="12.75">
      <c r="A7" s="9"/>
      <c r="B7" s="33"/>
      <c r="C7" s="7"/>
      <c r="D7" s="7"/>
      <c r="E7" s="6"/>
      <c r="F7" s="8">
        <v>0</v>
      </c>
      <c r="G7" s="12">
        <v>0</v>
      </c>
      <c r="H7" s="22">
        <f>I7/'BCIS Smmary'!$L$6</f>
        <v>0</v>
      </c>
      <c r="I7" s="187">
        <f t="shared" si="0"/>
        <v>0</v>
      </c>
      <c r="J7" s="3"/>
      <c r="K7" s="1"/>
      <c r="L7" s="217"/>
      <c r="M7" s="1"/>
      <c r="N7" s="1"/>
      <c r="O7" s="29"/>
      <c r="P7" s="1"/>
      <c r="Q7" s="1"/>
    </row>
    <row r="8" spans="1:17" ht="12.75">
      <c r="A8" s="9"/>
      <c r="B8" s="33" t="s">
        <v>175</v>
      </c>
      <c r="C8" s="33"/>
      <c r="D8" s="246"/>
      <c r="E8" s="6" t="s">
        <v>36</v>
      </c>
      <c r="F8" s="8">
        <f>'Internal walls'!F6*2</f>
        <v>1318.0800000000002</v>
      </c>
      <c r="G8" s="12">
        <v>11</v>
      </c>
      <c r="H8" s="22">
        <f>I8/'BCIS Smmary'!$L$6</f>
        <v>6.388241203373252</v>
      </c>
      <c r="I8" s="187">
        <f>F8*G8</f>
        <v>14498.880000000001</v>
      </c>
      <c r="J8" s="3"/>
      <c r="K8" s="1"/>
      <c r="L8" s="217"/>
      <c r="M8" s="1"/>
      <c r="N8" s="1"/>
      <c r="O8" s="29"/>
      <c r="P8" s="1"/>
      <c r="Q8" s="1"/>
    </row>
    <row r="9" spans="1:17" ht="12.75">
      <c r="A9" s="9"/>
      <c r="B9" s="33"/>
      <c r="C9" s="33"/>
      <c r="D9" s="7"/>
      <c r="E9" s="6"/>
      <c r="F9" s="8">
        <v>0</v>
      </c>
      <c r="G9" s="12">
        <v>0</v>
      </c>
      <c r="H9" s="22">
        <f>I9/'BCIS Smmary'!$L$6</f>
        <v>0</v>
      </c>
      <c r="I9" s="187">
        <f>F9*G9</f>
        <v>0</v>
      </c>
      <c r="J9" s="226"/>
      <c r="K9" s="217"/>
      <c r="L9" s="217"/>
      <c r="M9" s="29"/>
      <c r="N9" s="29"/>
      <c r="O9" s="254"/>
      <c r="P9" s="45"/>
      <c r="Q9" s="1"/>
    </row>
    <row r="10" spans="1:17" ht="12.75">
      <c r="A10" s="9"/>
      <c r="B10" s="33" t="s">
        <v>185</v>
      </c>
      <c r="C10" s="33"/>
      <c r="D10" s="7"/>
      <c r="E10" s="6" t="s">
        <v>36</v>
      </c>
      <c r="F10" s="8">
        <f>'Internal walls'!F8*2</f>
        <v>2628.096</v>
      </c>
      <c r="G10" s="12">
        <v>4</v>
      </c>
      <c r="H10" s="22">
        <f>I10/'BCIS Smmary'!$L$6</f>
        <v>4.631781531710154</v>
      </c>
      <c r="I10" s="187">
        <f t="shared" si="0"/>
        <v>10512.384</v>
      </c>
      <c r="J10" s="3"/>
      <c r="K10" s="217"/>
      <c r="L10" s="187"/>
      <c r="M10" s="29"/>
      <c r="N10" s="29"/>
      <c r="O10" s="29"/>
      <c r="P10" s="1"/>
      <c r="Q10" s="1"/>
    </row>
    <row r="11" spans="1:17" ht="12.75">
      <c r="A11" s="9"/>
      <c r="B11" s="33"/>
      <c r="C11" s="33"/>
      <c r="D11" s="7"/>
      <c r="E11" s="6"/>
      <c r="F11" s="8">
        <v>0</v>
      </c>
      <c r="G11" s="12">
        <v>0</v>
      </c>
      <c r="H11" s="22">
        <f>I11/'BCIS Smmary'!$L$6</f>
        <v>0</v>
      </c>
      <c r="I11" s="187">
        <f t="shared" si="0"/>
        <v>0</v>
      </c>
      <c r="J11" s="226"/>
      <c r="K11" s="1"/>
      <c r="L11" s="187"/>
      <c r="M11" s="29"/>
      <c r="N11" s="29"/>
      <c r="O11" s="29"/>
      <c r="P11" s="1"/>
      <c r="Q11" s="1"/>
    </row>
    <row r="12" spans="1:21" ht="12.75">
      <c r="A12" s="9"/>
      <c r="B12" s="33" t="s">
        <v>235</v>
      </c>
      <c r="C12" s="7"/>
      <c r="D12" s="246"/>
      <c r="E12" s="6" t="s">
        <v>36</v>
      </c>
      <c r="F12" s="8">
        <f>'Internal walls'!F7</f>
        <v>104.664</v>
      </c>
      <c r="G12" s="12">
        <v>11</v>
      </c>
      <c r="H12" s="22">
        <f>I12/'BCIS Smmary'!$L$6</f>
        <v>0.5072672958468819</v>
      </c>
      <c r="I12" s="187">
        <f>F12*G12</f>
        <v>1151.304</v>
      </c>
      <c r="J12" s="226"/>
      <c r="K12" s="29"/>
      <c r="L12" s="187"/>
      <c r="M12" s="29"/>
      <c r="N12" s="29"/>
      <c r="O12" s="29"/>
      <c r="P12" s="1"/>
      <c r="Q12" s="183"/>
      <c r="R12" s="94"/>
      <c r="S12" s="94"/>
      <c r="T12" s="94"/>
      <c r="U12" s="94"/>
    </row>
    <row r="13" spans="1:20" ht="12.75">
      <c r="A13" s="9"/>
      <c r="B13" s="33"/>
      <c r="C13" s="7"/>
      <c r="D13" s="7"/>
      <c r="E13" s="6"/>
      <c r="F13" s="8">
        <v>0</v>
      </c>
      <c r="G13" s="12">
        <v>0</v>
      </c>
      <c r="H13" s="22">
        <f>I13/'BCIS Smmary'!$L$6</f>
        <v>0</v>
      </c>
      <c r="I13" s="187">
        <f>F13*G13</f>
        <v>0</v>
      </c>
      <c r="J13" s="3"/>
      <c r="K13" s="29"/>
      <c r="L13" s="187"/>
      <c r="M13" s="29"/>
      <c r="N13" s="29"/>
      <c r="O13" s="29"/>
      <c r="P13" s="1"/>
      <c r="Q13" s="183"/>
      <c r="R13" s="94"/>
      <c r="S13" s="94"/>
      <c r="T13" s="94"/>
    </row>
    <row r="14" spans="1:20" ht="12.75">
      <c r="A14" s="9"/>
      <c r="C14" s="7"/>
      <c r="D14" s="7"/>
      <c r="E14" s="6"/>
      <c r="F14" s="8">
        <v>0</v>
      </c>
      <c r="G14" s="12">
        <v>0</v>
      </c>
      <c r="H14" s="22">
        <f>I14/'BCIS Smmary'!$L$6</f>
        <v>0</v>
      </c>
      <c r="I14" s="187">
        <f>F14*G14</f>
        <v>0</v>
      </c>
      <c r="J14" s="3"/>
      <c r="K14" s="29"/>
      <c r="L14" s="187"/>
      <c r="M14" s="29"/>
      <c r="N14" s="29"/>
      <c r="O14" s="29"/>
      <c r="P14" s="1"/>
      <c r="Q14" s="183"/>
      <c r="R14" s="94"/>
      <c r="S14" s="94"/>
      <c r="T14" s="94"/>
    </row>
    <row r="15" spans="1:20" ht="12.75">
      <c r="A15" s="9"/>
      <c r="B15" s="33"/>
      <c r="C15" s="7"/>
      <c r="D15" s="7"/>
      <c r="E15" s="6"/>
      <c r="F15" s="8">
        <v>0</v>
      </c>
      <c r="G15" s="12">
        <v>0</v>
      </c>
      <c r="H15" s="22">
        <f>I15/'BCIS Smmary'!$L$6</f>
        <v>0</v>
      </c>
      <c r="I15" s="187">
        <f>F15*G15</f>
        <v>0</v>
      </c>
      <c r="J15" s="226"/>
      <c r="K15" s="29"/>
      <c r="L15" s="187"/>
      <c r="M15" s="29"/>
      <c r="N15" s="29"/>
      <c r="O15" s="29"/>
      <c r="P15" s="1"/>
      <c r="Q15" s="94"/>
      <c r="R15" s="94"/>
      <c r="S15" s="94"/>
      <c r="T15" s="94"/>
    </row>
    <row r="16" spans="1:20" ht="12.75">
      <c r="A16" s="9"/>
      <c r="B16" s="33"/>
      <c r="C16" s="7"/>
      <c r="D16" s="7"/>
      <c r="E16" s="6"/>
      <c r="F16" s="8">
        <v>0</v>
      </c>
      <c r="G16" s="12">
        <v>0</v>
      </c>
      <c r="H16" s="22">
        <f>I16/'BCIS Smmary'!$L$6</f>
        <v>0</v>
      </c>
      <c r="I16" s="187">
        <f>F16*G16</f>
        <v>0</v>
      </c>
      <c r="J16" s="226"/>
      <c r="K16" s="29"/>
      <c r="L16" s="187"/>
      <c r="M16" s="29"/>
      <c r="N16" s="29"/>
      <c r="O16" s="29"/>
      <c r="P16" s="1"/>
      <c r="Q16" s="183"/>
      <c r="R16" s="94"/>
      <c r="S16" s="94"/>
      <c r="T16" s="94"/>
    </row>
    <row r="17" spans="1:20" ht="12.75">
      <c r="A17" s="9"/>
      <c r="B17" s="33"/>
      <c r="C17" s="7"/>
      <c r="D17" s="7"/>
      <c r="E17" s="6"/>
      <c r="F17" s="8">
        <v>0</v>
      </c>
      <c r="G17" s="12">
        <v>0</v>
      </c>
      <c r="H17" s="22">
        <f>I17/'BCIS Smmary'!$L$6</f>
        <v>0</v>
      </c>
      <c r="I17" s="187">
        <f aca="true" t="shared" si="1" ref="I17:I41">F17*G17</f>
        <v>0</v>
      </c>
      <c r="J17" s="226"/>
      <c r="K17" s="29"/>
      <c r="L17" s="187"/>
      <c r="M17" s="29"/>
      <c r="N17" s="29"/>
      <c r="O17" s="29"/>
      <c r="P17" s="1"/>
      <c r="Q17" s="183"/>
      <c r="R17" s="94"/>
      <c r="S17" s="94"/>
      <c r="T17" s="94"/>
    </row>
    <row r="18" spans="1:20" ht="12.75">
      <c r="A18" s="9"/>
      <c r="B18" s="33"/>
      <c r="C18" s="7"/>
      <c r="D18" s="7"/>
      <c r="E18" s="6"/>
      <c r="F18" s="8">
        <v>0</v>
      </c>
      <c r="G18" s="12">
        <v>0</v>
      </c>
      <c r="H18" s="22">
        <f>I18/'BCIS Smmary'!$L$6</f>
        <v>0</v>
      </c>
      <c r="I18" s="187">
        <f t="shared" si="1"/>
        <v>0</v>
      </c>
      <c r="J18" s="226"/>
      <c r="K18" s="29"/>
      <c r="L18" s="217"/>
      <c r="M18" s="29"/>
      <c r="N18" s="29"/>
      <c r="O18" s="29"/>
      <c r="P18" s="29"/>
      <c r="Q18" s="183"/>
      <c r="R18" s="94"/>
      <c r="S18" s="94"/>
      <c r="T18" s="94"/>
    </row>
    <row r="19" spans="1:20" ht="12.75">
      <c r="A19" s="9"/>
      <c r="B19" s="33" t="s">
        <v>186</v>
      </c>
      <c r="C19" s="33"/>
      <c r="D19" s="7"/>
      <c r="E19" s="6"/>
      <c r="F19" s="8">
        <v>0</v>
      </c>
      <c r="G19" s="12">
        <v>0</v>
      </c>
      <c r="H19" s="22">
        <f>I19/'BCIS Smmary'!$L$6</f>
        <v>0</v>
      </c>
      <c r="I19" s="187">
        <f>F19*G19</f>
        <v>0</v>
      </c>
      <c r="J19" s="226"/>
      <c r="K19" s="29"/>
      <c r="L19" s="217"/>
      <c r="M19" s="29"/>
      <c r="N19" s="29"/>
      <c r="O19" s="29"/>
      <c r="P19" s="1"/>
      <c r="Q19" s="183"/>
      <c r="R19" s="94"/>
      <c r="S19" s="94"/>
      <c r="T19" s="94"/>
    </row>
    <row r="20" spans="1:20" ht="12.75">
      <c r="A20" s="9"/>
      <c r="B20" s="33"/>
      <c r="C20" s="33" t="s">
        <v>187</v>
      </c>
      <c r="D20" s="7"/>
      <c r="E20" s="6" t="s">
        <v>36</v>
      </c>
      <c r="F20" s="8">
        <f>5*32</f>
        <v>160</v>
      </c>
      <c r="G20" s="12">
        <v>20</v>
      </c>
      <c r="H20" s="22">
        <f>I20/'BCIS Smmary'!$L$6</f>
        <v>1.409927653087301</v>
      </c>
      <c r="I20" s="187">
        <f>F20*G20</f>
        <v>3200</v>
      </c>
      <c r="J20" s="226"/>
      <c r="K20" s="29"/>
      <c r="L20" s="217"/>
      <c r="M20" s="29"/>
      <c r="N20" s="29"/>
      <c r="O20" s="29"/>
      <c r="P20" s="1"/>
      <c r="Q20" s="183"/>
      <c r="R20" s="94"/>
      <c r="S20" s="94"/>
      <c r="T20" s="94"/>
    </row>
    <row r="21" spans="1:20" ht="12.75">
      <c r="A21" s="9"/>
      <c r="B21" s="33"/>
      <c r="C21" s="33"/>
      <c r="D21" s="7"/>
      <c r="E21" s="6"/>
      <c r="F21" s="8">
        <v>0</v>
      </c>
      <c r="G21" s="12">
        <v>0</v>
      </c>
      <c r="H21" s="22">
        <f>I21/'BCIS Smmary'!$L$6</f>
        <v>0</v>
      </c>
      <c r="I21" s="187">
        <f>F21*G21</f>
        <v>0</v>
      </c>
      <c r="J21" s="226"/>
      <c r="K21" s="29"/>
      <c r="L21" s="217"/>
      <c r="M21" s="29"/>
      <c r="N21" s="29"/>
      <c r="O21" s="29"/>
      <c r="P21" s="29"/>
      <c r="Q21" s="183"/>
      <c r="R21" s="94"/>
      <c r="S21" s="94"/>
      <c r="T21" s="94"/>
    </row>
    <row r="22" spans="1:20" ht="12.75">
      <c r="A22" s="9"/>
      <c r="B22" s="33"/>
      <c r="C22" s="7" t="s">
        <v>188</v>
      </c>
      <c r="D22" s="7"/>
      <c r="E22" s="6" t="s">
        <v>36</v>
      </c>
      <c r="F22" s="8">
        <f>11*29</f>
        <v>319</v>
      </c>
      <c r="G22" s="12">
        <v>20</v>
      </c>
      <c r="H22" s="22">
        <f>I22/'BCIS Smmary'!$L$6</f>
        <v>2.8110432583428064</v>
      </c>
      <c r="I22" s="187">
        <f>F22*G22</f>
        <v>6380</v>
      </c>
      <c r="J22" s="226"/>
      <c r="K22" s="29"/>
      <c r="L22" s="217"/>
      <c r="M22" s="29"/>
      <c r="N22" s="29"/>
      <c r="O22" s="29"/>
      <c r="P22" s="1"/>
      <c r="Q22" s="183"/>
      <c r="R22" s="94"/>
      <c r="S22" s="94"/>
      <c r="T22" s="94"/>
    </row>
    <row r="23" spans="1:17" ht="12.75">
      <c r="A23" s="9"/>
      <c r="B23" s="33"/>
      <c r="C23" s="7"/>
      <c r="D23" s="7"/>
      <c r="E23" s="6"/>
      <c r="F23" s="8">
        <v>0</v>
      </c>
      <c r="G23" s="12">
        <v>0</v>
      </c>
      <c r="H23" s="22">
        <f>I23/'BCIS Smmary'!$L$6</f>
        <v>0</v>
      </c>
      <c r="I23" s="187">
        <f t="shared" si="1"/>
        <v>0</v>
      </c>
      <c r="J23" s="226"/>
      <c r="K23" s="29"/>
      <c r="L23" s="217"/>
      <c r="M23" s="29"/>
      <c r="N23" s="29"/>
      <c r="O23" s="45"/>
      <c r="P23" s="45"/>
      <c r="Q23" s="1"/>
    </row>
    <row r="24" spans="1:17" ht="12.75">
      <c r="A24" s="9"/>
      <c r="B24" s="33"/>
      <c r="C24" s="7"/>
      <c r="D24" s="7"/>
      <c r="E24" s="6"/>
      <c r="F24" s="8">
        <v>0</v>
      </c>
      <c r="G24" s="12">
        <v>0</v>
      </c>
      <c r="H24" s="22">
        <f>I24/'BCIS Smmary'!$L$6</f>
        <v>0</v>
      </c>
      <c r="I24" s="187">
        <f t="shared" si="1"/>
        <v>0</v>
      </c>
      <c r="J24" s="226"/>
      <c r="K24" s="1"/>
      <c r="L24" s="217"/>
      <c r="M24" s="217"/>
      <c r="N24" s="217"/>
      <c r="O24" s="217"/>
      <c r="P24" s="217"/>
      <c r="Q24" s="1"/>
    </row>
    <row r="25" spans="1:17" ht="12.75">
      <c r="A25" s="9"/>
      <c r="B25" s="33"/>
      <c r="C25" s="7"/>
      <c r="D25" s="7"/>
      <c r="E25" s="6"/>
      <c r="F25" s="8">
        <v>0</v>
      </c>
      <c r="G25" s="12">
        <v>0</v>
      </c>
      <c r="H25" s="22">
        <f>I25/'BCIS Smmary'!$L$6</f>
        <v>0</v>
      </c>
      <c r="I25" s="187">
        <f t="shared" si="1"/>
        <v>0</v>
      </c>
      <c r="J25" s="226"/>
      <c r="K25" s="1"/>
      <c r="L25" s="217"/>
      <c r="M25" s="217"/>
      <c r="N25" s="1"/>
      <c r="O25" s="1"/>
      <c r="P25" s="1"/>
      <c r="Q25" s="1"/>
    </row>
    <row r="26" spans="1:17" ht="12.75">
      <c r="A26" s="9"/>
      <c r="B26" s="33" t="s">
        <v>357</v>
      </c>
      <c r="C26" s="7"/>
      <c r="D26" s="7"/>
      <c r="E26" s="3"/>
      <c r="F26" s="8">
        <v>0</v>
      </c>
      <c r="G26" s="12">
        <v>0</v>
      </c>
      <c r="H26" s="22">
        <f>I26/'BCIS Smmary'!$L$6</f>
        <v>0</v>
      </c>
      <c r="I26" s="187">
        <f>F26*G26</f>
        <v>0</v>
      </c>
      <c r="J26" s="3"/>
      <c r="K26" s="29"/>
      <c r="L26" s="187"/>
      <c r="M26" s="29"/>
      <c r="N26" s="29"/>
      <c r="O26" s="1"/>
      <c r="P26" s="1"/>
      <c r="Q26" s="1"/>
    </row>
    <row r="27" spans="1:17" ht="12.75">
      <c r="A27" s="9"/>
      <c r="B27" s="33"/>
      <c r="C27" s="7"/>
      <c r="D27" s="7"/>
      <c r="E27" s="6"/>
      <c r="F27" s="8">
        <v>0</v>
      </c>
      <c r="G27" s="12">
        <v>0</v>
      </c>
      <c r="H27" s="22">
        <f>I27/'BCIS Smmary'!$L$6</f>
        <v>0</v>
      </c>
      <c r="I27" s="187">
        <f t="shared" si="1"/>
        <v>0</v>
      </c>
      <c r="J27" s="3"/>
      <c r="K27" s="29"/>
      <c r="L27" s="187"/>
      <c r="M27" s="29"/>
      <c r="N27" s="29"/>
      <c r="O27" s="1"/>
      <c r="P27" s="1"/>
      <c r="Q27" s="1"/>
    </row>
    <row r="28" spans="1:17" ht="12.75">
      <c r="A28" s="9"/>
      <c r="B28" s="33"/>
      <c r="C28" s="7" t="s">
        <v>428</v>
      </c>
      <c r="D28" s="7"/>
      <c r="E28" s="6"/>
      <c r="F28" s="8"/>
      <c r="G28" s="12">
        <v>0</v>
      </c>
      <c r="H28" s="22">
        <f>I28/'BCIS Smmary'!$L$6</f>
        <v>0</v>
      </c>
      <c r="I28" s="187">
        <f>F28*G28</f>
        <v>0</v>
      </c>
      <c r="J28" s="3"/>
      <c r="K28" s="29"/>
      <c r="L28" s="187"/>
      <c r="M28" s="29"/>
      <c r="N28" s="29"/>
      <c r="O28" s="1"/>
      <c r="P28" s="1"/>
      <c r="Q28" s="1"/>
    </row>
    <row r="29" spans="1:17" ht="12.75">
      <c r="A29" s="9"/>
      <c r="B29" s="33"/>
      <c r="C29" s="7"/>
      <c r="D29" s="7"/>
      <c r="E29" s="6"/>
      <c r="F29" s="8">
        <v>0</v>
      </c>
      <c r="G29" s="12">
        <v>0</v>
      </c>
      <c r="H29" s="22">
        <f>I29/'BCIS Smmary'!$L$6</f>
        <v>0</v>
      </c>
      <c r="I29" s="187">
        <f t="shared" si="1"/>
        <v>0</v>
      </c>
      <c r="J29" s="3"/>
      <c r="K29" s="29"/>
      <c r="L29" s="187"/>
      <c r="M29" s="29"/>
      <c r="N29" s="29"/>
      <c r="O29" s="1"/>
      <c r="P29" s="1"/>
      <c r="Q29" s="1"/>
    </row>
    <row r="30" spans="1:17" ht="12.75">
      <c r="A30" s="9"/>
      <c r="B30" s="33"/>
      <c r="C30" s="7"/>
      <c r="D30" s="7"/>
      <c r="E30" s="6"/>
      <c r="F30" s="8">
        <v>0</v>
      </c>
      <c r="G30" s="12">
        <v>0</v>
      </c>
      <c r="H30" s="22">
        <f>I30/'BCIS Smmary'!$L$6</f>
        <v>0</v>
      </c>
      <c r="I30" s="187">
        <f t="shared" si="1"/>
        <v>0</v>
      </c>
      <c r="J30" s="3"/>
      <c r="K30" s="29"/>
      <c r="L30" s="187"/>
      <c r="M30" s="29"/>
      <c r="N30" s="29"/>
      <c r="O30" s="1"/>
      <c r="P30" s="1"/>
      <c r="Q30" s="1"/>
    </row>
    <row r="31" spans="1:17" ht="12.75">
      <c r="A31" s="9"/>
      <c r="B31" s="33"/>
      <c r="C31" s="7"/>
      <c r="D31" s="7"/>
      <c r="E31" s="6"/>
      <c r="F31" s="8">
        <v>0</v>
      </c>
      <c r="G31" s="12">
        <v>0</v>
      </c>
      <c r="H31" s="22">
        <f>I31/'BCIS Smmary'!$L$6</f>
        <v>0</v>
      </c>
      <c r="I31" s="23">
        <f t="shared" si="1"/>
        <v>0</v>
      </c>
      <c r="J31" s="187"/>
      <c r="K31" s="29"/>
      <c r="L31" s="187"/>
      <c r="M31" s="29"/>
      <c r="N31" s="29"/>
      <c r="O31" s="29"/>
      <c r="P31" s="1"/>
      <c r="Q31" s="1"/>
    </row>
    <row r="32" spans="1:17" ht="12.75">
      <c r="A32" s="9"/>
      <c r="B32" s="33"/>
      <c r="C32" s="7"/>
      <c r="D32" s="7"/>
      <c r="E32" s="6"/>
      <c r="F32" s="8">
        <v>0</v>
      </c>
      <c r="G32" s="12">
        <v>0</v>
      </c>
      <c r="H32" s="22">
        <f>I32/'BCIS Smmary'!$L$6</f>
        <v>0</v>
      </c>
      <c r="I32" s="23">
        <f t="shared" si="1"/>
        <v>0</v>
      </c>
      <c r="J32" s="187"/>
      <c r="K32" s="29"/>
      <c r="L32" s="217"/>
      <c r="M32" s="29"/>
      <c r="N32" s="29"/>
      <c r="O32" s="29"/>
      <c r="P32" s="29"/>
      <c r="Q32" s="1"/>
    </row>
    <row r="33" spans="1:17" ht="12.75">
      <c r="A33" s="9"/>
      <c r="B33" s="33"/>
      <c r="C33" s="7"/>
      <c r="D33" s="7"/>
      <c r="E33" s="6"/>
      <c r="F33" s="8">
        <v>0</v>
      </c>
      <c r="G33" s="12">
        <v>0</v>
      </c>
      <c r="H33" s="22">
        <f>I33/'BCIS Smmary'!$L$6</f>
        <v>0</v>
      </c>
      <c r="I33" s="23">
        <f t="shared" si="1"/>
        <v>0</v>
      </c>
      <c r="J33" s="187"/>
      <c r="K33" s="29"/>
      <c r="L33" s="217"/>
      <c r="M33" s="29"/>
      <c r="N33" s="29"/>
      <c r="O33" s="1"/>
      <c r="P33" s="1"/>
      <c r="Q33" s="1"/>
    </row>
    <row r="34" spans="1:17" ht="12.75">
      <c r="A34" s="9"/>
      <c r="B34" s="33"/>
      <c r="C34" s="7"/>
      <c r="D34" s="7"/>
      <c r="E34" s="6"/>
      <c r="F34" s="8">
        <v>0</v>
      </c>
      <c r="G34" s="12">
        <v>0</v>
      </c>
      <c r="H34" s="22">
        <f>I34/'BCIS Smmary'!$L$6</f>
        <v>0</v>
      </c>
      <c r="I34" s="23">
        <f t="shared" si="1"/>
        <v>0</v>
      </c>
      <c r="J34" s="187"/>
      <c r="K34" s="29"/>
      <c r="L34" s="217"/>
      <c r="M34" s="29"/>
      <c r="N34" s="29"/>
      <c r="O34" s="1"/>
      <c r="P34" s="1"/>
      <c r="Q34" s="1"/>
    </row>
    <row r="35" spans="1:17" ht="12.75">
      <c r="A35" s="9"/>
      <c r="B35" s="33"/>
      <c r="C35" s="7"/>
      <c r="D35" s="7"/>
      <c r="E35" s="6"/>
      <c r="F35" s="8">
        <v>0</v>
      </c>
      <c r="G35" s="12">
        <v>0</v>
      </c>
      <c r="H35" s="22">
        <f>I35/'BCIS Smmary'!$L$6</f>
        <v>0</v>
      </c>
      <c r="I35" s="23">
        <f t="shared" si="1"/>
        <v>0</v>
      </c>
      <c r="J35" s="187"/>
      <c r="K35" s="29"/>
      <c r="L35" s="217"/>
      <c r="M35" s="29"/>
      <c r="N35" s="29"/>
      <c r="O35" s="29"/>
      <c r="P35" s="29"/>
      <c r="Q35" s="1"/>
    </row>
    <row r="36" spans="1:17" ht="12.75">
      <c r="A36" s="9"/>
      <c r="B36" s="33"/>
      <c r="C36" s="7"/>
      <c r="D36" s="7"/>
      <c r="E36" s="6"/>
      <c r="F36" s="8">
        <v>0</v>
      </c>
      <c r="G36" s="12">
        <v>0</v>
      </c>
      <c r="H36" s="22">
        <f>I36/'BCIS Smmary'!$L$6</f>
        <v>0</v>
      </c>
      <c r="I36" s="23">
        <f t="shared" si="1"/>
        <v>0</v>
      </c>
      <c r="J36" s="187"/>
      <c r="K36" s="29"/>
      <c r="L36" s="217"/>
      <c r="M36" s="29"/>
      <c r="N36" s="29"/>
      <c r="O36" s="29"/>
      <c r="P36" s="1"/>
      <c r="Q36" s="1"/>
    </row>
    <row r="37" spans="1:17" ht="12.75">
      <c r="A37" s="9"/>
      <c r="B37" s="33"/>
      <c r="C37" s="7"/>
      <c r="D37" s="7"/>
      <c r="E37" s="6"/>
      <c r="F37" s="8">
        <v>0</v>
      </c>
      <c r="G37" s="12">
        <v>0</v>
      </c>
      <c r="H37" s="22">
        <f>I37/'BCIS Smmary'!$L$6</f>
        <v>0</v>
      </c>
      <c r="I37" s="23">
        <f t="shared" si="1"/>
        <v>0</v>
      </c>
      <c r="J37" s="187"/>
      <c r="K37" s="29"/>
      <c r="L37" s="217"/>
      <c r="M37" s="29"/>
      <c r="N37" s="29"/>
      <c r="O37" s="45"/>
      <c r="P37" s="45"/>
      <c r="Q37" s="1"/>
    </row>
    <row r="38" spans="1:17" ht="12.75">
      <c r="A38" s="9"/>
      <c r="B38" s="33"/>
      <c r="C38" s="7"/>
      <c r="D38" s="7"/>
      <c r="E38" s="6"/>
      <c r="F38" s="8">
        <v>0</v>
      </c>
      <c r="G38" s="12">
        <v>0</v>
      </c>
      <c r="H38" s="22">
        <f>I38/'BCIS Smmary'!$L$6</f>
        <v>0</v>
      </c>
      <c r="I38" s="23">
        <f t="shared" si="1"/>
        <v>0</v>
      </c>
      <c r="J38" s="187"/>
      <c r="K38" s="1"/>
      <c r="L38" s="217"/>
      <c r="M38" s="217"/>
      <c r="N38" s="217"/>
      <c r="O38" s="217"/>
      <c r="P38" s="217"/>
      <c r="Q38" s="1"/>
    </row>
    <row r="39" spans="1:17" ht="12.75">
      <c r="A39" s="9"/>
      <c r="B39" s="33"/>
      <c r="C39" s="7"/>
      <c r="D39" s="7"/>
      <c r="E39" s="6"/>
      <c r="F39" s="8">
        <v>0</v>
      </c>
      <c r="G39" s="12">
        <v>0</v>
      </c>
      <c r="H39" s="22">
        <f>I39/'BCIS Smmary'!$L$6</f>
        <v>0</v>
      </c>
      <c r="I39" s="23">
        <f t="shared" si="1"/>
        <v>0</v>
      </c>
      <c r="J39" s="187"/>
      <c r="K39" s="1"/>
      <c r="L39" s="217"/>
      <c r="M39" s="217"/>
      <c r="N39" s="1"/>
      <c r="O39" s="1"/>
      <c r="P39" s="1"/>
      <c r="Q39" s="1"/>
    </row>
    <row r="40" spans="1:15" ht="12.75">
      <c r="A40" s="9"/>
      <c r="B40" s="33"/>
      <c r="C40" s="7"/>
      <c r="D40" s="7"/>
      <c r="E40" s="6"/>
      <c r="F40" s="8">
        <v>0</v>
      </c>
      <c r="G40" s="12">
        <v>0</v>
      </c>
      <c r="H40" s="22">
        <f>I40/'BCIS Smmary'!$L$6</f>
        <v>0</v>
      </c>
      <c r="I40" s="23">
        <f t="shared" si="1"/>
        <v>0</v>
      </c>
      <c r="J40" s="187"/>
      <c r="K40" s="187"/>
      <c r="L40" s="187"/>
      <c r="M40" s="187"/>
      <c r="N40" s="187"/>
      <c r="O40" s="187"/>
    </row>
    <row r="41" spans="1:15" ht="12.75">
      <c r="A41" s="9"/>
      <c r="B41" s="33"/>
      <c r="C41" s="7"/>
      <c r="D41" s="7"/>
      <c r="E41" s="6"/>
      <c r="F41" s="8"/>
      <c r="G41" s="12">
        <v>0</v>
      </c>
      <c r="H41" s="22">
        <f>I41/'BCIS Smmary'!$L$6</f>
        <v>0</v>
      </c>
      <c r="I41" s="23">
        <f t="shared" si="1"/>
        <v>0</v>
      </c>
      <c r="J41" s="187"/>
      <c r="K41" s="187"/>
      <c r="L41" s="187"/>
      <c r="M41" s="187"/>
      <c r="N41" s="187"/>
      <c r="O41" s="187"/>
    </row>
    <row r="42" spans="1:15" ht="12.75">
      <c r="A42" s="34" t="s">
        <v>150</v>
      </c>
      <c r="B42" s="35"/>
      <c r="C42" s="35"/>
      <c r="D42" s="35"/>
      <c r="E42" s="18" t="s">
        <v>8</v>
      </c>
      <c r="F42" s="25"/>
      <c r="G42" s="25">
        <v>0</v>
      </c>
      <c r="H42" s="32">
        <f>I42/'BCIS Smmary'!$L$6</f>
        <v>23.385531785056532</v>
      </c>
      <c r="I42" s="31">
        <f>SUM(I5:I40)</f>
        <v>53076.270650000006</v>
      </c>
      <c r="J42" s="187"/>
      <c r="K42" s="187"/>
      <c r="L42" s="187"/>
      <c r="M42" s="187"/>
      <c r="N42" s="187"/>
      <c r="O42" s="187"/>
    </row>
    <row r="43" spans="1:16" ht="12.75">
      <c r="A43" s="9"/>
      <c r="B43" s="3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printOptions/>
  <pageMargins left="0.75" right="0.75" top="1" bottom="1" header="0.5" footer="0.5"/>
  <pageSetup fitToHeight="1" fitToWidth="1" horizontalDpi="300" verticalDpi="300" orientation="portrait" paperSize="9" scale="84" r:id="rId1"/>
  <headerFooter alignWithMargins="0">
    <oddFooter>&amp;L&amp;D  &amp;T&amp;C13&amp;R&amp;F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52"/>
  <sheetViews>
    <sheetView workbookViewId="0" topLeftCell="A1">
      <selection activeCell="I51" sqref="B6:I51"/>
    </sheetView>
  </sheetViews>
  <sheetFormatPr defaultColWidth="9.140625" defaultRowHeight="12.75"/>
  <cols>
    <col min="1" max="1" width="3.7109375" style="0" customWidth="1"/>
    <col min="2" max="2" width="9.57421875" style="0" customWidth="1"/>
    <col min="4" max="4" width="25.8515625" style="0" customWidth="1"/>
    <col min="5" max="5" width="5.7109375" style="0" customWidth="1"/>
    <col min="6" max="6" width="9.28125" style="0" bestFit="1" customWidth="1"/>
    <col min="7" max="7" width="11.140625" style="0" bestFit="1" customWidth="1"/>
    <col min="8" max="8" width="12.57421875" style="0" bestFit="1" customWidth="1"/>
    <col min="9" max="9" width="13.140625" style="0" customWidth="1"/>
    <col min="10" max="12" width="9.00390625" style="0" customWidth="1"/>
    <col min="13" max="14" width="13.140625" style="0" customWidth="1"/>
    <col min="17" max="17" width="9.28125" style="0" bestFit="1" customWidth="1"/>
  </cols>
  <sheetData>
    <row r="1" spans="1:14" ht="12.75">
      <c r="A1" s="57" t="s">
        <v>10</v>
      </c>
      <c r="B1" s="58"/>
      <c r="C1" s="58"/>
      <c r="D1" s="59" t="s">
        <v>18</v>
      </c>
      <c r="E1" s="58"/>
      <c r="F1" s="58"/>
      <c r="G1" s="58"/>
      <c r="H1" s="58"/>
      <c r="I1" s="61"/>
      <c r="J1" s="216"/>
      <c r="K1" s="216"/>
      <c r="L1" s="216"/>
      <c r="M1" s="216"/>
      <c r="N1" s="216"/>
    </row>
    <row r="2" spans="1:14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  <c r="J2" s="15"/>
      <c r="K2" s="15"/>
      <c r="L2" s="15"/>
      <c r="M2" s="15"/>
      <c r="N2" s="15"/>
    </row>
    <row r="3" spans="1:14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  <c r="J3" s="15"/>
      <c r="K3" s="15"/>
      <c r="L3" s="15"/>
      <c r="M3" s="15"/>
      <c r="N3" s="15"/>
    </row>
    <row r="4" spans="1:18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  <c r="O4" s="1"/>
      <c r="P4" s="1"/>
      <c r="Q4" s="1"/>
      <c r="R4" s="1"/>
    </row>
    <row r="5" spans="1:18" ht="12.75">
      <c r="A5" s="9"/>
      <c r="B5" s="7"/>
      <c r="C5" s="7"/>
      <c r="D5" s="7"/>
      <c r="E5" s="6"/>
      <c r="F5" s="8"/>
      <c r="G5" s="12"/>
      <c r="H5" s="22"/>
      <c r="I5" s="187"/>
      <c r="J5" s="3"/>
      <c r="K5" s="1"/>
      <c r="L5" s="1"/>
      <c r="M5" s="1"/>
      <c r="N5" s="1"/>
      <c r="O5" s="45"/>
      <c r="P5" s="1"/>
      <c r="Q5" s="1"/>
      <c r="R5" s="1"/>
    </row>
    <row r="6" spans="1:18" ht="12.75">
      <c r="A6" s="9"/>
      <c r="B6" s="95" t="s">
        <v>189</v>
      </c>
      <c r="C6" s="7"/>
      <c r="D6" s="7"/>
      <c r="E6" s="6"/>
      <c r="F6" s="8">
        <v>0</v>
      </c>
      <c r="G6" s="12">
        <v>0</v>
      </c>
      <c r="H6" s="22">
        <f>I6/'BCIS Smmary'!$L$6</f>
        <v>0</v>
      </c>
      <c r="I6" s="187">
        <f>F6*G6</f>
        <v>0</v>
      </c>
      <c r="J6" s="3"/>
      <c r="K6" s="1"/>
      <c r="L6" s="217"/>
      <c r="M6" s="1"/>
      <c r="N6" s="1"/>
      <c r="O6" s="45"/>
      <c r="P6" s="1"/>
      <c r="Q6" s="1"/>
      <c r="R6" s="1"/>
    </row>
    <row r="7" spans="1:18" ht="12.75">
      <c r="A7" s="9"/>
      <c r="B7" s="7" t="s">
        <v>364</v>
      </c>
      <c r="C7" s="46"/>
      <c r="D7" s="33"/>
      <c r="E7" s="26" t="s">
        <v>36</v>
      </c>
      <c r="F7" s="8">
        <f>Areas!Q38-Areas!D13-Areas!F15-Areas!F19</f>
        <v>2257.43</v>
      </c>
      <c r="G7" s="12">
        <f>D12</f>
        <v>43</v>
      </c>
      <c r="H7" s="22">
        <f>I7/'BCIS Smmary'!$L$6</f>
        <v>42.76904944440038</v>
      </c>
      <c r="I7" s="187">
        <f>F7*G7</f>
        <v>97069.48999999999</v>
      </c>
      <c r="J7" s="3"/>
      <c r="K7" s="1"/>
      <c r="L7" s="217"/>
      <c r="M7" s="1"/>
      <c r="N7" s="1"/>
      <c r="O7" s="45"/>
      <c r="P7" s="1"/>
      <c r="Q7" s="1"/>
      <c r="R7" s="1"/>
    </row>
    <row r="8" spans="2:18" ht="12.75">
      <c r="B8" s="179"/>
      <c r="C8" t="s">
        <v>190</v>
      </c>
      <c r="D8">
        <v>15</v>
      </c>
      <c r="E8" s="26"/>
      <c r="F8" s="8">
        <v>0</v>
      </c>
      <c r="G8" s="12">
        <v>0</v>
      </c>
      <c r="H8" s="22">
        <f>I8/'BCIS Smmary'!$L$6</f>
        <v>0</v>
      </c>
      <c r="I8" s="187">
        <f aca="true" t="shared" si="0" ref="I8:I17">F8*G8</f>
        <v>0</v>
      </c>
      <c r="J8" s="3"/>
      <c r="K8" s="1"/>
      <c r="L8" s="217"/>
      <c r="M8" s="1"/>
      <c r="N8" s="1"/>
      <c r="O8" s="45"/>
      <c r="P8" s="82"/>
      <c r="Q8" s="82"/>
      <c r="R8" s="82"/>
    </row>
    <row r="9" spans="3:18" ht="12.75">
      <c r="C9" t="s">
        <v>191</v>
      </c>
      <c r="D9">
        <v>10</v>
      </c>
      <c r="E9" s="26"/>
      <c r="F9" s="8">
        <v>0</v>
      </c>
      <c r="G9" s="12">
        <v>0</v>
      </c>
      <c r="H9" s="22">
        <f>I9/'BCIS Smmary'!$L$6</f>
        <v>0</v>
      </c>
      <c r="I9" s="187">
        <f t="shared" si="0"/>
        <v>0</v>
      </c>
      <c r="J9" s="3"/>
      <c r="K9" s="1"/>
      <c r="L9" s="1"/>
      <c r="M9" s="1"/>
      <c r="N9" s="1"/>
      <c r="O9" s="45"/>
      <c r="P9" s="82"/>
      <c r="Q9" s="82"/>
      <c r="R9" s="82"/>
    </row>
    <row r="10" spans="3:18" ht="12.75">
      <c r="C10" t="s">
        <v>192</v>
      </c>
      <c r="D10">
        <v>8</v>
      </c>
      <c r="E10" s="26"/>
      <c r="F10" s="8">
        <v>0</v>
      </c>
      <c r="G10" s="12">
        <v>0</v>
      </c>
      <c r="H10" s="22">
        <f>I10/'BCIS Smmary'!$L$6</f>
        <v>0</v>
      </c>
      <c r="I10" s="187">
        <f t="shared" si="0"/>
        <v>0</v>
      </c>
      <c r="J10" s="3"/>
      <c r="K10" s="217"/>
      <c r="L10" s="187"/>
      <c r="M10" s="1"/>
      <c r="N10" s="1"/>
      <c r="O10" s="45"/>
      <c r="P10" s="82"/>
      <c r="Q10" s="82"/>
      <c r="R10" s="82"/>
    </row>
    <row r="11" spans="3:19" s="37" customFormat="1" ht="12.75">
      <c r="C11" s="30" t="s">
        <v>193</v>
      </c>
      <c r="D11" s="30">
        <v>10</v>
      </c>
      <c r="E11" s="26"/>
      <c r="F11" s="8">
        <v>0</v>
      </c>
      <c r="G11" s="12">
        <v>0</v>
      </c>
      <c r="H11" s="22">
        <f>I11/'BCIS Smmary'!$L$6</f>
        <v>0</v>
      </c>
      <c r="I11" s="187">
        <f t="shared" si="0"/>
        <v>0</v>
      </c>
      <c r="J11" s="226"/>
      <c r="K11" s="1"/>
      <c r="L11" s="187"/>
      <c r="M11" s="1"/>
      <c r="N11" s="1"/>
      <c r="O11" s="45"/>
      <c r="P11" s="91"/>
      <c r="Q11" s="184"/>
      <c r="R11" s="184"/>
      <c r="S11" s="185"/>
    </row>
    <row r="12" spans="3:19" s="37" customFormat="1" ht="12.75">
      <c r="C12" s="30"/>
      <c r="D12" s="247">
        <f>SUM(D8:D11)</f>
        <v>43</v>
      </c>
      <c r="E12" s="26"/>
      <c r="F12" s="8">
        <v>0</v>
      </c>
      <c r="G12" s="12">
        <v>0</v>
      </c>
      <c r="H12" s="22">
        <f>I12/'BCIS Smmary'!$L$6</f>
        <v>0</v>
      </c>
      <c r="I12" s="187">
        <f t="shared" si="0"/>
        <v>0</v>
      </c>
      <c r="J12" s="226"/>
      <c r="K12" s="1"/>
      <c r="L12" s="187"/>
      <c r="M12" s="1"/>
      <c r="N12" s="1"/>
      <c r="O12" s="45"/>
      <c r="P12" s="91"/>
      <c r="Q12" s="184"/>
      <c r="R12" s="184"/>
      <c r="S12" s="185"/>
    </row>
    <row r="13" spans="2:19" s="37" customFormat="1" ht="12.75">
      <c r="B13" s="30"/>
      <c r="E13" s="26"/>
      <c r="F13" s="8">
        <v>0</v>
      </c>
      <c r="G13" s="12">
        <v>0</v>
      </c>
      <c r="H13" s="22">
        <f>I13/'BCIS Smmary'!$L$6</f>
        <v>0</v>
      </c>
      <c r="I13" s="187">
        <f t="shared" si="0"/>
        <v>0</v>
      </c>
      <c r="J13" s="3"/>
      <c r="K13" s="1"/>
      <c r="L13" s="187"/>
      <c r="M13" s="1"/>
      <c r="N13" s="1"/>
      <c r="O13" s="45"/>
      <c r="P13" s="91"/>
      <c r="Q13" s="184"/>
      <c r="R13" s="184"/>
      <c r="S13" s="185"/>
    </row>
    <row r="14" spans="2:19" s="37" customFormat="1" ht="12.75">
      <c r="B14" s="30" t="s">
        <v>358</v>
      </c>
      <c r="E14" s="26"/>
      <c r="F14" s="8">
        <v>0</v>
      </c>
      <c r="G14" s="12">
        <v>0</v>
      </c>
      <c r="H14" s="22">
        <f>I14/'BCIS Smmary'!$L$6</f>
        <v>0</v>
      </c>
      <c r="I14" s="187">
        <f t="shared" si="0"/>
        <v>0</v>
      </c>
      <c r="J14" s="3"/>
      <c r="K14" s="1"/>
      <c r="L14" s="187"/>
      <c r="M14" s="1"/>
      <c r="N14" s="1"/>
      <c r="O14" s="45"/>
      <c r="P14" s="91"/>
      <c r="Q14" s="184"/>
      <c r="R14" s="184"/>
      <c r="S14" s="185"/>
    </row>
    <row r="15" spans="3:19" s="37" customFormat="1" ht="12.75">
      <c r="C15" s="30" t="s">
        <v>429</v>
      </c>
      <c r="E15" s="26" t="s">
        <v>36</v>
      </c>
      <c r="F15" s="8">
        <f>Areas!T38</f>
        <v>321.01</v>
      </c>
      <c r="G15" s="12">
        <v>35</v>
      </c>
      <c r="H15" s="22">
        <f>I15/'BCIS Smmary'!$L$6</f>
        <v>4.950322080348252</v>
      </c>
      <c r="I15" s="187">
        <f t="shared" si="0"/>
        <v>11235.35</v>
      </c>
      <c r="J15" s="226"/>
      <c r="K15" s="1"/>
      <c r="L15" s="187"/>
      <c r="M15" s="1"/>
      <c r="N15" s="1"/>
      <c r="O15" s="45"/>
      <c r="P15" s="91"/>
      <c r="Q15" s="184"/>
      <c r="R15" s="184"/>
      <c r="S15" s="185"/>
    </row>
    <row r="16" spans="5:19" s="37" customFormat="1" ht="12.75">
      <c r="E16" s="26"/>
      <c r="F16" s="8">
        <v>0</v>
      </c>
      <c r="G16" s="12">
        <v>0</v>
      </c>
      <c r="H16" s="22">
        <f>I16/'BCIS Smmary'!$L$6</f>
        <v>0</v>
      </c>
      <c r="I16" s="187">
        <f t="shared" si="0"/>
        <v>0</v>
      </c>
      <c r="J16" s="3"/>
      <c r="K16" s="1"/>
      <c r="L16" s="187"/>
      <c r="M16" s="1"/>
      <c r="N16" s="1"/>
      <c r="O16" s="45"/>
      <c r="P16" s="91"/>
      <c r="Q16" s="184"/>
      <c r="R16" s="184"/>
      <c r="S16" s="185"/>
    </row>
    <row r="17" spans="5:19" s="37" customFormat="1" ht="12.75">
      <c r="E17" s="26"/>
      <c r="F17" s="8"/>
      <c r="G17" s="12">
        <v>0</v>
      </c>
      <c r="H17" s="22">
        <f>I17/'BCIS Smmary'!$L$6</f>
        <v>0</v>
      </c>
      <c r="I17" s="187">
        <f t="shared" si="0"/>
        <v>0</v>
      </c>
      <c r="J17" s="226"/>
      <c r="K17" s="1"/>
      <c r="L17" s="187"/>
      <c r="M17" s="1"/>
      <c r="N17" s="1"/>
      <c r="O17" s="45"/>
      <c r="P17" s="91"/>
      <c r="Q17" s="184"/>
      <c r="R17" s="184"/>
      <c r="S17" s="185"/>
    </row>
    <row r="18" spans="1:19" ht="12.75">
      <c r="A18" s="37"/>
      <c r="B18" s="30" t="s">
        <v>236</v>
      </c>
      <c r="C18" s="30"/>
      <c r="D18" s="30"/>
      <c r="E18" s="26" t="s">
        <v>237</v>
      </c>
      <c r="F18" s="8">
        <v>29</v>
      </c>
      <c r="G18" s="12">
        <v>150</v>
      </c>
      <c r="H18" s="22"/>
      <c r="I18" s="187">
        <f aca="true" t="shared" si="1" ref="I18:I24">F18*G18</f>
        <v>4350</v>
      </c>
      <c r="J18" s="3"/>
      <c r="K18" s="1"/>
      <c r="L18" s="217"/>
      <c r="M18" s="1"/>
      <c r="N18" s="1"/>
      <c r="O18" s="1"/>
      <c r="P18" s="82"/>
      <c r="Q18" s="183"/>
      <c r="R18" s="183"/>
      <c r="S18" s="94"/>
    </row>
    <row r="19" spans="1:19" ht="12.75">
      <c r="A19" s="9"/>
      <c r="B19" s="7"/>
      <c r="C19" s="75"/>
      <c r="D19" s="55"/>
      <c r="E19" s="33"/>
      <c r="F19" s="8">
        <v>0</v>
      </c>
      <c r="G19" s="12">
        <v>0</v>
      </c>
      <c r="H19" s="22">
        <f>I19/'BCIS Smmary'!$L$6</f>
        <v>0</v>
      </c>
      <c r="I19" s="187">
        <f t="shared" si="1"/>
        <v>0</v>
      </c>
      <c r="J19" s="226"/>
      <c r="K19" s="1"/>
      <c r="L19" s="1"/>
      <c r="M19" s="1"/>
      <c r="N19" s="1"/>
      <c r="O19" s="1"/>
      <c r="P19" s="1"/>
      <c r="Q19" s="183"/>
      <c r="R19" s="183"/>
      <c r="S19" s="94"/>
    </row>
    <row r="20" spans="1:19" ht="12.75">
      <c r="A20" s="9"/>
      <c r="B20" s="7"/>
      <c r="C20" s="46"/>
      <c r="D20" s="55"/>
      <c r="E20" s="33"/>
      <c r="F20" s="8">
        <v>0</v>
      </c>
      <c r="G20" s="12">
        <v>0</v>
      </c>
      <c r="H20" s="22">
        <f>I20/'BCIS Smmary'!$L$6</f>
        <v>0</v>
      </c>
      <c r="I20" s="187">
        <f t="shared" si="1"/>
        <v>0</v>
      </c>
      <c r="J20" s="226"/>
      <c r="K20" s="1"/>
      <c r="L20" s="1"/>
      <c r="M20" s="1"/>
      <c r="N20" s="1"/>
      <c r="O20" s="1"/>
      <c r="P20" s="1"/>
      <c r="Q20" s="183"/>
      <c r="R20" s="183"/>
      <c r="S20" s="94"/>
    </row>
    <row r="21" spans="1:19" ht="12.75">
      <c r="A21" s="9"/>
      <c r="B21" s="93" t="s">
        <v>359</v>
      </c>
      <c r="C21" s="46"/>
      <c r="D21" s="55"/>
      <c r="E21" s="33"/>
      <c r="F21" s="8">
        <v>0</v>
      </c>
      <c r="G21" s="12">
        <v>0</v>
      </c>
      <c r="H21" s="22">
        <f>I21/'BCIS Smmary'!$L$6</f>
        <v>0</v>
      </c>
      <c r="I21" s="187">
        <f t="shared" si="1"/>
        <v>0</v>
      </c>
      <c r="J21" s="3"/>
      <c r="K21" s="1"/>
      <c r="L21" s="1"/>
      <c r="M21" s="1"/>
      <c r="N21" s="1"/>
      <c r="O21" s="1"/>
      <c r="P21" s="1"/>
      <c r="Q21" s="183"/>
      <c r="R21" s="183"/>
      <c r="S21" s="94"/>
    </row>
    <row r="22" spans="1:18" ht="12.75">
      <c r="A22" s="9"/>
      <c r="B22" s="33"/>
      <c r="C22" s="46"/>
      <c r="D22" s="33"/>
      <c r="E22" s="26"/>
      <c r="F22" s="8">
        <v>0</v>
      </c>
      <c r="G22" s="12">
        <v>0</v>
      </c>
      <c r="H22" s="22">
        <f>I22/'BCIS Smmary'!$L$6</f>
        <v>0</v>
      </c>
      <c r="I22" s="187">
        <f t="shared" si="1"/>
        <v>0</v>
      </c>
      <c r="J22" s="3"/>
      <c r="K22" s="1"/>
      <c r="L22" s="217"/>
      <c r="M22" s="1"/>
      <c r="N22" s="1"/>
      <c r="O22" s="1"/>
      <c r="P22" s="1"/>
      <c r="Q22" s="1"/>
      <c r="R22" s="1"/>
    </row>
    <row r="23" spans="1:18" ht="12.75">
      <c r="A23" s="9"/>
      <c r="B23" s="75" t="s">
        <v>242</v>
      </c>
      <c r="D23" s="55"/>
      <c r="F23" s="8">
        <v>0</v>
      </c>
      <c r="G23" s="12">
        <v>0</v>
      </c>
      <c r="H23" s="22">
        <f>I23/'BCIS Smmary'!$L$6</f>
        <v>0</v>
      </c>
      <c r="I23" s="187">
        <f>F23*G23</f>
        <v>0</v>
      </c>
      <c r="J23" s="226"/>
      <c r="K23" s="213" t="s">
        <v>361</v>
      </c>
      <c r="L23" s="213" t="s">
        <v>362</v>
      </c>
      <c r="M23" s="213" t="s">
        <v>136</v>
      </c>
      <c r="N23" s="1"/>
      <c r="O23" s="1"/>
      <c r="P23" s="1"/>
      <c r="Q23" s="1"/>
      <c r="R23" s="1"/>
    </row>
    <row r="24" spans="4:18" ht="12.75">
      <c r="D24" t="s">
        <v>404</v>
      </c>
      <c r="E24" s="26" t="s">
        <v>36</v>
      </c>
      <c r="F24" s="8">
        <f aca="true" t="shared" si="2" ref="F24:F33">M24</f>
        <v>38.35</v>
      </c>
      <c r="G24" s="12">
        <v>20</v>
      </c>
      <c r="H24" s="22">
        <f>I24/'BCIS Smmary'!$L$6</f>
        <v>0.3379420343493625</v>
      </c>
      <c r="I24" s="187">
        <f t="shared" si="1"/>
        <v>767</v>
      </c>
      <c r="J24" s="3"/>
      <c r="K24" s="1">
        <v>38.35</v>
      </c>
      <c r="L24" s="217">
        <v>1</v>
      </c>
      <c r="M24" s="183">
        <f aca="true" t="shared" si="3" ref="M24:M33">K24*L24</f>
        <v>38.35</v>
      </c>
      <c r="N24" s="1"/>
      <c r="O24" s="1"/>
      <c r="P24" s="1"/>
      <c r="Q24" s="1"/>
      <c r="R24" s="1"/>
    </row>
    <row r="25" spans="4:18" ht="12.75">
      <c r="D25" t="s">
        <v>407</v>
      </c>
      <c r="E25" s="26" t="s">
        <v>36</v>
      </c>
      <c r="F25" s="8">
        <f t="shared" si="2"/>
        <v>2.66</v>
      </c>
      <c r="G25" s="12">
        <v>20</v>
      </c>
      <c r="H25" s="22">
        <f>I25/'BCIS Smmary'!$L$6</f>
        <v>0.02344004723257638</v>
      </c>
      <c r="I25" s="23">
        <f aca="true" t="shared" si="4" ref="I25:I51">F25*G25</f>
        <v>53.2</v>
      </c>
      <c r="K25">
        <v>2.66</v>
      </c>
      <c r="L25">
        <v>1</v>
      </c>
      <c r="M25" s="183">
        <f t="shared" si="3"/>
        <v>2.66</v>
      </c>
      <c r="O25" s="1"/>
      <c r="P25" s="1"/>
      <c r="Q25" s="1"/>
      <c r="R25" s="1"/>
    </row>
    <row r="26" spans="4:18" ht="12.75">
      <c r="D26" s="4" t="s">
        <v>405</v>
      </c>
      <c r="E26" s="26" t="s">
        <v>36</v>
      </c>
      <c r="F26" s="8">
        <f t="shared" si="2"/>
        <v>29.22</v>
      </c>
      <c r="G26" s="12">
        <v>20</v>
      </c>
      <c r="H26" s="22">
        <f>I26/'BCIS Smmary'!$L$6</f>
        <v>0.25748803764506834</v>
      </c>
      <c r="I26" s="23">
        <f t="shared" si="4"/>
        <v>584.4</v>
      </c>
      <c r="K26">
        <v>29.22</v>
      </c>
      <c r="L26">
        <v>1</v>
      </c>
      <c r="M26" s="183">
        <f t="shared" si="3"/>
        <v>29.22</v>
      </c>
      <c r="O26" s="1"/>
      <c r="P26" s="1"/>
      <c r="Q26" s="1"/>
      <c r="R26" s="1"/>
    </row>
    <row r="27" spans="1:18" ht="12.75">
      <c r="A27" s="9"/>
      <c r="D27" s="4" t="s">
        <v>406</v>
      </c>
      <c r="E27" s="26" t="s">
        <v>36</v>
      </c>
      <c r="F27" s="8">
        <f t="shared" si="2"/>
        <v>46.56</v>
      </c>
      <c r="G27" s="12">
        <v>20</v>
      </c>
      <c r="H27" s="22">
        <f>I27/'BCIS Smmary'!$L$6</f>
        <v>0.41028894704840463</v>
      </c>
      <c r="I27" s="23">
        <f t="shared" si="4"/>
        <v>931.2</v>
      </c>
      <c r="K27">
        <v>46.56</v>
      </c>
      <c r="L27">
        <v>1</v>
      </c>
      <c r="M27" s="183">
        <f t="shared" si="3"/>
        <v>46.56</v>
      </c>
      <c r="O27" s="1"/>
      <c r="P27" s="1"/>
      <c r="Q27" s="1"/>
      <c r="R27" s="1"/>
    </row>
    <row r="28" spans="1:18" ht="12.75">
      <c r="A28" s="9"/>
      <c r="D28" s="290" t="s">
        <v>409</v>
      </c>
      <c r="E28" s="26" t="s">
        <v>36</v>
      </c>
      <c r="F28" s="8">
        <f t="shared" si="2"/>
        <v>13.92</v>
      </c>
      <c r="G28" s="12">
        <v>20</v>
      </c>
      <c r="H28" s="22">
        <f>I28/'BCIS Smmary'!$L$6</f>
        <v>0.12266370581859518</v>
      </c>
      <c r="I28" s="23">
        <f t="shared" si="4"/>
        <v>278.4</v>
      </c>
      <c r="K28">
        <v>13.92</v>
      </c>
      <c r="L28">
        <v>1</v>
      </c>
      <c r="M28" s="183">
        <f t="shared" si="3"/>
        <v>13.92</v>
      </c>
      <c r="O28" s="1"/>
      <c r="P28" s="1"/>
      <c r="Q28" s="1"/>
      <c r="R28" s="1"/>
    </row>
    <row r="29" spans="1:18" ht="12.75">
      <c r="A29" s="9"/>
      <c r="D29" t="s">
        <v>363</v>
      </c>
      <c r="E29" s="26" t="s">
        <v>36</v>
      </c>
      <c r="F29" s="8">
        <f t="shared" si="2"/>
        <v>35.78</v>
      </c>
      <c r="G29" s="12">
        <v>20</v>
      </c>
      <c r="H29" s="22">
        <f>I29/'BCIS Smmary'!$L$6</f>
        <v>0.3152950714216477</v>
      </c>
      <c r="I29" s="187">
        <f t="shared" si="4"/>
        <v>715.6</v>
      </c>
      <c r="J29" s="3"/>
      <c r="K29" s="1">
        <v>35.78</v>
      </c>
      <c r="L29" s="1">
        <v>1</v>
      </c>
      <c r="M29" s="183">
        <f t="shared" si="3"/>
        <v>35.78</v>
      </c>
      <c r="N29" s="1"/>
      <c r="O29" s="1"/>
      <c r="P29" s="1"/>
      <c r="Q29" s="1"/>
      <c r="R29" s="1"/>
    </row>
    <row r="30" spans="1:18" ht="12.75">
      <c r="A30" s="9"/>
      <c r="B30" s="7"/>
      <c r="C30" s="7"/>
      <c r="D30" s="7" t="s">
        <v>365</v>
      </c>
      <c r="E30" s="26" t="s">
        <v>36</v>
      </c>
      <c r="F30" s="8">
        <f t="shared" si="2"/>
        <v>28.63</v>
      </c>
      <c r="G30" s="12">
        <v>20</v>
      </c>
      <c r="H30" s="22">
        <f>I30/'BCIS Smmary'!$L$6</f>
        <v>0.2522889294243089</v>
      </c>
      <c r="I30" s="187">
        <f t="shared" si="4"/>
        <v>572.6</v>
      </c>
      <c r="J30" s="3"/>
      <c r="K30" s="1">
        <v>28.63</v>
      </c>
      <c r="L30" s="217">
        <v>1</v>
      </c>
      <c r="M30" s="183">
        <f t="shared" si="3"/>
        <v>28.63</v>
      </c>
      <c r="N30" s="1"/>
      <c r="O30" s="1"/>
      <c r="P30" s="1"/>
      <c r="Q30" s="1"/>
      <c r="R30" s="1"/>
    </row>
    <row r="31" spans="1:18" ht="12.75">
      <c r="A31" s="9"/>
      <c r="D31" s="285" t="s">
        <v>366</v>
      </c>
      <c r="E31" s="26" t="s">
        <v>36</v>
      </c>
      <c r="F31" s="8">
        <f t="shared" si="2"/>
        <v>113.55000000000001</v>
      </c>
      <c r="G31" s="12">
        <v>20</v>
      </c>
      <c r="H31" s="22">
        <f>I31/'BCIS Smmary'!$L$6</f>
        <v>1.000608031300394</v>
      </c>
      <c r="I31" s="23">
        <f t="shared" si="4"/>
        <v>2271</v>
      </c>
      <c r="K31" s="29">
        <v>22.71</v>
      </c>
      <c r="L31" s="218">
        <v>5</v>
      </c>
      <c r="M31" s="183">
        <f t="shared" si="3"/>
        <v>113.55000000000001</v>
      </c>
      <c r="N31" s="1"/>
      <c r="O31" s="1"/>
      <c r="P31" s="1"/>
      <c r="Q31" s="1"/>
      <c r="R31" s="1"/>
    </row>
    <row r="32" spans="1:18" ht="12.75">
      <c r="A32" s="9"/>
      <c r="D32" s="285" t="s">
        <v>367</v>
      </c>
      <c r="E32" s="26" t="s">
        <v>36</v>
      </c>
      <c r="F32" s="8">
        <f t="shared" si="2"/>
        <v>14.64</v>
      </c>
      <c r="G32" s="12">
        <v>20</v>
      </c>
      <c r="H32" s="22">
        <f>I32/'BCIS Smmary'!$L$6</f>
        <v>0.12900838025748804</v>
      </c>
      <c r="I32" s="23">
        <f t="shared" si="4"/>
        <v>292.8</v>
      </c>
      <c r="K32" s="29">
        <v>14.64</v>
      </c>
      <c r="L32" s="218">
        <v>1</v>
      </c>
      <c r="M32" s="183">
        <f t="shared" si="3"/>
        <v>14.64</v>
      </c>
      <c r="N32" s="1"/>
      <c r="O32" s="1"/>
      <c r="P32" s="1"/>
      <c r="Q32" s="1"/>
      <c r="R32" s="1"/>
    </row>
    <row r="33" spans="1:18" ht="12.75">
      <c r="A33" s="9"/>
      <c r="D33" s="285" t="s">
        <v>368</v>
      </c>
      <c r="E33" s="26" t="s">
        <v>36</v>
      </c>
      <c r="F33" s="8">
        <f t="shared" si="2"/>
        <v>46.72</v>
      </c>
      <c r="G33" s="12">
        <v>20</v>
      </c>
      <c r="H33" s="22">
        <f>I33/'BCIS Smmary'!$L$6</f>
        <v>0.4116988747014919</v>
      </c>
      <c r="I33" s="23">
        <f t="shared" si="4"/>
        <v>934.4</v>
      </c>
      <c r="K33" s="29">
        <v>46.72</v>
      </c>
      <c r="L33" s="218">
        <v>1</v>
      </c>
      <c r="M33" s="266">
        <f t="shared" si="3"/>
        <v>46.72</v>
      </c>
      <c r="N33" s="1"/>
      <c r="O33" s="1"/>
      <c r="P33" s="1"/>
      <c r="Q33" s="1"/>
      <c r="R33" s="1"/>
    </row>
    <row r="34" spans="1:18" ht="12.75">
      <c r="A34" s="9"/>
      <c r="B34" s="7" t="s">
        <v>243</v>
      </c>
      <c r="C34" s="7"/>
      <c r="D34" s="7"/>
      <c r="E34" s="26"/>
      <c r="F34" s="8">
        <v>0</v>
      </c>
      <c r="G34" s="188">
        <v>0</v>
      </c>
      <c r="H34" s="22">
        <f>I34/'BCIS Smmary'!$L$6</f>
        <v>0</v>
      </c>
      <c r="I34" s="187">
        <f t="shared" si="4"/>
        <v>0</v>
      </c>
      <c r="J34" s="3"/>
      <c r="K34" s="213" t="s">
        <v>361</v>
      </c>
      <c r="L34" s="213" t="s">
        <v>362</v>
      </c>
      <c r="M34" s="213" t="s">
        <v>136</v>
      </c>
      <c r="N34" s="217"/>
      <c r="O34" s="1"/>
      <c r="P34" s="1"/>
      <c r="Q34" s="1"/>
      <c r="R34" s="1"/>
    </row>
    <row r="35" spans="2:15" ht="12.75">
      <c r="B35" s="93"/>
      <c r="C35" s="7"/>
      <c r="D35" t="s">
        <v>407</v>
      </c>
      <c r="E35" s="26" t="s">
        <v>36</v>
      </c>
      <c r="F35" s="8">
        <f aca="true" t="shared" si="5" ref="F35:F42">M35</f>
        <v>29.15</v>
      </c>
      <c r="G35" s="12">
        <v>12</v>
      </c>
      <c r="H35" s="22">
        <f>I35/'BCIS Smmary'!$L$6</f>
        <v>0.15412271657810558</v>
      </c>
      <c r="I35" s="187">
        <f t="shared" si="4"/>
        <v>349.79999999999995</v>
      </c>
      <c r="J35" s="226"/>
      <c r="K35" s="1">
        <v>29.15</v>
      </c>
      <c r="L35" s="217">
        <v>1</v>
      </c>
      <c r="M35" s="183">
        <f aca="true" t="shared" si="6" ref="M35:M42">K35*L35</f>
        <v>29.15</v>
      </c>
      <c r="N35" s="217"/>
      <c r="O35" s="1"/>
    </row>
    <row r="36" spans="4:13" ht="12.75">
      <c r="D36" s="285" t="s">
        <v>405</v>
      </c>
      <c r="E36" s="26" t="s">
        <v>36</v>
      </c>
      <c r="F36" s="8">
        <f t="shared" si="5"/>
        <v>14.43</v>
      </c>
      <c r="G36" s="12">
        <v>12</v>
      </c>
      <c r="H36" s="22">
        <f>I36/'BCIS Smmary'!$L$6</f>
        <v>0.07629471012768657</v>
      </c>
      <c r="I36" s="23">
        <f t="shared" si="4"/>
        <v>173.16</v>
      </c>
      <c r="K36" s="29">
        <v>14.43</v>
      </c>
      <c r="L36" s="218">
        <v>1</v>
      </c>
      <c r="M36" s="266">
        <f t="shared" si="6"/>
        <v>14.43</v>
      </c>
    </row>
    <row r="37" spans="1:13" ht="12.75">
      <c r="A37" s="6"/>
      <c r="D37" s="285" t="s">
        <v>408</v>
      </c>
      <c r="E37" s="26" t="s">
        <v>36</v>
      </c>
      <c r="F37" s="8">
        <f t="shared" si="5"/>
        <v>31.76</v>
      </c>
      <c r="G37" s="12">
        <v>12</v>
      </c>
      <c r="H37" s="22">
        <f>I37/'BCIS Smmary'!$L$6</f>
        <v>0.16792238348269756</v>
      </c>
      <c r="I37" s="23">
        <f t="shared" si="4"/>
        <v>381.12</v>
      </c>
      <c r="K37" s="29">
        <v>31.76</v>
      </c>
      <c r="L37" s="218">
        <v>1</v>
      </c>
      <c r="M37" s="266">
        <f t="shared" si="6"/>
        <v>31.76</v>
      </c>
    </row>
    <row r="38" spans="1:14" ht="12.75">
      <c r="A38" s="6"/>
      <c r="B38" s="7"/>
      <c r="C38" s="7"/>
      <c r="D38" t="s">
        <v>363</v>
      </c>
      <c r="E38" s="26" t="s">
        <v>36</v>
      </c>
      <c r="F38" s="8">
        <f t="shared" si="5"/>
        <v>24.02</v>
      </c>
      <c r="G38" s="12">
        <v>12</v>
      </c>
      <c r="H38" s="22">
        <f>I38/'BCIS Smmary'!$L$6</f>
        <v>0.12699923335183863</v>
      </c>
      <c r="I38" s="187">
        <f t="shared" si="4"/>
        <v>288.24</v>
      </c>
      <c r="J38" s="3"/>
      <c r="K38" s="29">
        <v>24.02</v>
      </c>
      <c r="L38" s="218">
        <v>1</v>
      </c>
      <c r="M38" s="183">
        <f t="shared" si="6"/>
        <v>24.02</v>
      </c>
      <c r="N38" s="217"/>
    </row>
    <row r="39" spans="1:14" ht="12.75">
      <c r="A39" s="6"/>
      <c r="B39" s="7"/>
      <c r="C39" s="7"/>
      <c r="D39" s="7" t="s">
        <v>365</v>
      </c>
      <c r="E39" s="26" t="s">
        <v>36</v>
      </c>
      <c r="F39" s="8">
        <f t="shared" si="5"/>
        <v>12.13</v>
      </c>
      <c r="G39" s="12">
        <v>12</v>
      </c>
      <c r="H39" s="22">
        <f>I39/'BCIS Smmary'!$L$6</f>
        <v>0.0641340841198086</v>
      </c>
      <c r="I39" s="187">
        <f t="shared" si="4"/>
        <v>145.56</v>
      </c>
      <c r="J39" s="3"/>
      <c r="K39" s="1">
        <v>12.13</v>
      </c>
      <c r="L39" s="217">
        <v>1</v>
      </c>
      <c r="M39" s="183">
        <f t="shared" si="6"/>
        <v>12.13</v>
      </c>
      <c r="N39" s="187"/>
    </row>
    <row r="40" spans="1:14" ht="12.75">
      <c r="A40" s="6"/>
      <c r="D40" s="285" t="s">
        <v>366</v>
      </c>
      <c r="E40" s="26" t="s">
        <v>36</v>
      </c>
      <c r="F40" s="8">
        <f t="shared" si="5"/>
        <v>117.4</v>
      </c>
      <c r="G40" s="12">
        <v>12</v>
      </c>
      <c r="H40" s="22">
        <f>I40/'BCIS Smmary'!$L$6</f>
        <v>0.6207206492716844</v>
      </c>
      <c r="I40" s="23">
        <f t="shared" si="4"/>
        <v>1408.8000000000002</v>
      </c>
      <c r="K40" s="29">
        <v>23.48</v>
      </c>
      <c r="L40" s="218">
        <v>5</v>
      </c>
      <c r="M40" s="183">
        <f t="shared" si="6"/>
        <v>117.4</v>
      </c>
      <c r="N40" s="187"/>
    </row>
    <row r="41" spans="4:14" ht="12.75">
      <c r="D41" s="285" t="s">
        <v>367</v>
      </c>
      <c r="E41" s="26" t="s">
        <v>36</v>
      </c>
      <c r="F41" s="8">
        <f t="shared" si="5"/>
        <v>12.24</v>
      </c>
      <c r="G41" s="12">
        <v>12</v>
      </c>
      <c r="H41" s="22">
        <f>I41/'BCIS Smmary'!$L$6</f>
        <v>0.06471567927670711</v>
      </c>
      <c r="I41" s="23">
        <f t="shared" si="4"/>
        <v>146.88</v>
      </c>
      <c r="K41" s="29">
        <v>12.24</v>
      </c>
      <c r="L41" s="218">
        <v>1</v>
      </c>
      <c r="M41" s="183">
        <f t="shared" si="6"/>
        <v>12.24</v>
      </c>
      <c r="N41" s="1"/>
    </row>
    <row r="42" spans="4:13" ht="12.75">
      <c r="D42" s="285" t="s">
        <v>367</v>
      </c>
      <c r="E42" s="26" t="s">
        <v>36</v>
      </c>
      <c r="F42" s="8">
        <f t="shared" si="5"/>
        <v>9.12</v>
      </c>
      <c r="G42" s="12">
        <v>12</v>
      </c>
      <c r="H42" s="22">
        <f>I42/'BCIS Smmary'!$L$6</f>
        <v>0.048219525735585696</v>
      </c>
      <c r="I42" s="23">
        <f t="shared" si="4"/>
        <v>109.44</v>
      </c>
      <c r="K42" s="29">
        <v>9.12</v>
      </c>
      <c r="L42" s="218">
        <v>1</v>
      </c>
      <c r="M42" s="183">
        <f t="shared" si="6"/>
        <v>9.12</v>
      </c>
    </row>
    <row r="43" spans="1:13" ht="12.75">
      <c r="A43" s="1"/>
      <c r="B43" s="7" t="s">
        <v>244</v>
      </c>
      <c r="C43" s="7"/>
      <c r="D43" s="7" t="s">
        <v>410</v>
      </c>
      <c r="E43" s="26" t="s">
        <v>36</v>
      </c>
      <c r="F43" s="8">
        <f>8*7</f>
        <v>56</v>
      </c>
      <c r="G43" s="12">
        <v>12</v>
      </c>
      <c r="H43" s="22">
        <f>I43/'BCIS Smmary'!$L$6</f>
        <v>0.29608480714833324</v>
      </c>
      <c r="I43" s="187">
        <f t="shared" si="4"/>
        <v>672</v>
      </c>
      <c r="J43" s="3"/>
      <c r="K43" s="1"/>
      <c r="L43" s="1"/>
      <c r="M43" s="183"/>
    </row>
    <row r="44" spans="2:13" ht="12.75">
      <c r="B44" s="7"/>
      <c r="C44" s="7"/>
      <c r="D44" s="7"/>
      <c r="E44" s="26"/>
      <c r="F44" s="8">
        <v>0</v>
      </c>
      <c r="G44" s="12">
        <v>0</v>
      </c>
      <c r="H44" s="22">
        <f>I44/'BCIS Smmary'!$L$6</f>
        <v>0</v>
      </c>
      <c r="I44" s="187">
        <f t="shared" si="4"/>
        <v>0</v>
      </c>
      <c r="J44" s="3"/>
      <c r="K44" s="1"/>
      <c r="L44" s="1"/>
      <c r="M44" s="183">
        <f>K44*L44</f>
        <v>0</v>
      </c>
    </row>
    <row r="45" spans="2:13" ht="12.75">
      <c r="B45" s="7" t="s">
        <v>245</v>
      </c>
      <c r="C45" s="7"/>
      <c r="D45" s="7"/>
      <c r="E45" s="6"/>
      <c r="F45" s="8">
        <v>0</v>
      </c>
      <c r="G45" s="12">
        <v>0</v>
      </c>
      <c r="H45" s="22">
        <f>I45/'BCIS Smmary'!$L$6</f>
        <v>0</v>
      </c>
      <c r="I45" s="187">
        <f t="shared" si="4"/>
        <v>0</v>
      </c>
      <c r="J45" s="200"/>
      <c r="K45" s="213" t="s">
        <v>361</v>
      </c>
      <c r="L45" s="213" t="s">
        <v>362</v>
      </c>
      <c r="M45" s="213" t="s">
        <v>136</v>
      </c>
    </row>
    <row r="46" spans="2:13" ht="12.75">
      <c r="B46" s="7"/>
      <c r="C46" s="7"/>
      <c r="D46" t="s">
        <v>360</v>
      </c>
      <c r="E46" s="26" t="s">
        <v>36</v>
      </c>
      <c r="F46" s="8">
        <v>14</v>
      </c>
      <c r="G46" s="12">
        <v>17</v>
      </c>
      <c r="H46" s="22">
        <f>I46/'BCIS Smmary'!$L$6</f>
        <v>0.10486336919836801</v>
      </c>
      <c r="I46" s="187">
        <f t="shared" si="4"/>
        <v>238</v>
      </c>
      <c r="J46" s="200"/>
      <c r="K46" s="187">
        <v>6.22</v>
      </c>
      <c r="L46" s="187">
        <v>5</v>
      </c>
      <c r="M46" s="183">
        <f>K46*L46</f>
        <v>31.099999999999998</v>
      </c>
    </row>
    <row r="47" spans="2:13" ht="12.75">
      <c r="B47" s="7"/>
      <c r="C47" s="7"/>
      <c r="D47" t="s">
        <v>363</v>
      </c>
      <c r="E47" s="26" t="s">
        <v>36</v>
      </c>
      <c r="F47" s="8">
        <v>103</v>
      </c>
      <c r="G47" s="12">
        <v>17</v>
      </c>
      <c r="H47" s="22">
        <f>I47/'BCIS Smmary'!$L$6</f>
        <v>0.7714947876737075</v>
      </c>
      <c r="I47" s="187">
        <f t="shared" si="4"/>
        <v>1751</v>
      </c>
      <c r="J47" s="3"/>
      <c r="K47" s="1">
        <v>4.56</v>
      </c>
      <c r="L47" s="1">
        <v>4.35</v>
      </c>
      <c r="M47" s="183">
        <f>K47*L47</f>
        <v>19.835999999999995</v>
      </c>
    </row>
    <row r="48" spans="2:13" ht="12.75">
      <c r="B48" s="7"/>
      <c r="C48" s="7"/>
      <c r="D48" s="7" t="s">
        <v>365</v>
      </c>
      <c r="E48" s="26" t="s">
        <v>36</v>
      </c>
      <c r="F48" s="8">
        <f>M48</f>
        <v>4.54</v>
      </c>
      <c r="G48" s="12">
        <v>17</v>
      </c>
      <c r="H48" s="22">
        <f>I48/'BCIS Smmary'!$L$6</f>
        <v>0.034005692582899344</v>
      </c>
      <c r="I48" s="187">
        <f t="shared" si="4"/>
        <v>77.18</v>
      </c>
      <c r="J48" s="3"/>
      <c r="K48" s="1">
        <v>4.54</v>
      </c>
      <c r="L48" s="1">
        <v>1</v>
      </c>
      <c r="M48" s="183">
        <f>K48*L48</f>
        <v>4.54</v>
      </c>
    </row>
    <row r="49" spans="4:13" ht="12.75">
      <c r="D49" s="285" t="s">
        <v>366</v>
      </c>
      <c r="E49" s="26" t="s">
        <v>36</v>
      </c>
      <c r="F49" s="8">
        <f>M49</f>
        <v>22.599999999999998</v>
      </c>
      <c r="G49" s="12">
        <v>17</v>
      </c>
      <c r="H49" s="22">
        <f>I49/'BCIS Smmary'!$L$6</f>
        <v>0.16927943884879407</v>
      </c>
      <c r="I49" s="23">
        <f t="shared" si="4"/>
        <v>384.2</v>
      </c>
      <c r="K49" s="29">
        <v>4.52</v>
      </c>
      <c r="L49" s="29">
        <v>5</v>
      </c>
      <c r="M49" s="183">
        <f>K49*L49</f>
        <v>22.599999999999998</v>
      </c>
    </row>
    <row r="50" spans="4:13" ht="12.75">
      <c r="D50" s="285" t="s">
        <v>367</v>
      </c>
      <c r="E50" s="26" t="s">
        <v>36</v>
      </c>
      <c r="F50" s="8">
        <f>M50</f>
        <v>4.96</v>
      </c>
      <c r="G50" s="12">
        <v>17</v>
      </c>
      <c r="H50" s="22">
        <f>I50/'BCIS Smmary'!$L$6</f>
        <v>0.03715159365885038</v>
      </c>
      <c r="I50" s="23">
        <f t="shared" si="4"/>
        <v>84.32</v>
      </c>
      <c r="K50" s="29">
        <v>4.96</v>
      </c>
      <c r="L50" s="29">
        <v>1</v>
      </c>
      <c r="M50" s="183">
        <f>K50*L50</f>
        <v>4.96</v>
      </c>
    </row>
    <row r="51" spans="2:13" ht="12.75">
      <c r="B51" s="7"/>
      <c r="C51" s="7"/>
      <c r="D51" s="7"/>
      <c r="E51" s="26"/>
      <c r="F51" s="8">
        <v>0</v>
      </c>
      <c r="G51" s="12">
        <v>0</v>
      </c>
      <c r="H51" s="22">
        <f>I51/'BCIS Smmary'!$L$6</f>
        <v>0</v>
      </c>
      <c r="I51" s="24">
        <f t="shared" si="4"/>
        <v>0</v>
      </c>
      <c r="J51" s="1"/>
      <c r="M51" s="183"/>
    </row>
    <row r="52" spans="1:10" ht="12.75">
      <c r="A52" s="18" t="s">
        <v>25</v>
      </c>
      <c r="B52" s="13"/>
      <c r="C52" s="13"/>
      <c r="D52" s="13"/>
      <c r="E52" s="18"/>
      <c r="F52" s="25">
        <v>0</v>
      </c>
      <c r="G52" s="25">
        <v>0</v>
      </c>
      <c r="H52" s="32">
        <f>I52/'BCIS Smmary'!$L$6</f>
        <v>55.632722658418594</v>
      </c>
      <c r="I52" s="234">
        <f>SUM(I5:I51)</f>
        <v>126265.14</v>
      </c>
      <c r="J52" s="3"/>
    </row>
  </sheetData>
  <printOptions/>
  <pageMargins left="0.75" right="0.75" top="1" bottom="1" header="0.5" footer="0.5"/>
  <pageSetup fitToHeight="1" fitToWidth="1" horizontalDpi="300" verticalDpi="300" orientation="portrait" paperSize="9" scale="87" r:id="rId1"/>
  <headerFooter alignWithMargins="0">
    <oddFooter>&amp;L&amp;D  &amp;T&amp;C14&amp;R&amp;F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35"/>
  <sheetViews>
    <sheetView workbookViewId="0" topLeftCell="A1">
      <selection activeCell="B6" sqref="B6:I13"/>
    </sheetView>
  </sheetViews>
  <sheetFormatPr defaultColWidth="9.140625" defaultRowHeight="12.75"/>
  <cols>
    <col min="1" max="1" width="3.7109375" style="0" customWidth="1"/>
    <col min="4" max="4" width="25.00390625" style="0" customWidth="1"/>
    <col min="5" max="5" width="5.7109375" style="0" customWidth="1"/>
    <col min="6" max="6" width="9.28125" style="0" bestFit="1" customWidth="1"/>
    <col min="7" max="7" width="10.421875" style="0" bestFit="1" customWidth="1"/>
    <col min="8" max="8" width="10.7109375" style="0" customWidth="1"/>
    <col min="9" max="9" width="13.140625" style="0" customWidth="1"/>
  </cols>
  <sheetData>
    <row r="1" spans="1:9" ht="12.75">
      <c r="A1" s="57" t="s">
        <v>10</v>
      </c>
      <c r="B1" s="58"/>
      <c r="C1" s="58"/>
      <c r="D1" s="59" t="s">
        <v>19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4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</row>
    <row r="5" spans="1:14" ht="12.75">
      <c r="A5" s="9"/>
      <c r="B5" s="7"/>
      <c r="C5" s="33"/>
      <c r="D5" s="33"/>
      <c r="E5" s="26"/>
      <c r="F5" s="38"/>
      <c r="G5" s="39"/>
      <c r="H5" s="41" t="s">
        <v>8</v>
      </c>
      <c r="I5" s="236"/>
      <c r="J5" s="3"/>
      <c r="K5" s="1"/>
      <c r="L5" s="1"/>
      <c r="M5" s="1"/>
      <c r="N5" s="1"/>
    </row>
    <row r="6" spans="1:14" ht="12.75">
      <c r="A6" s="9"/>
      <c r="B6" s="286" t="s">
        <v>194</v>
      </c>
      <c r="C6" s="7"/>
      <c r="D6" s="7"/>
      <c r="E6" s="6" t="s">
        <v>36</v>
      </c>
      <c r="F6" s="8">
        <f>Areas!Q38-Areas!D13-Areas!F15-Areas!F19</f>
        <v>2257.43</v>
      </c>
      <c r="G6" s="12">
        <v>20</v>
      </c>
      <c r="H6" s="22">
        <f>I6/'BCIS Smmary'!$L$6</f>
        <v>19.89258113693041</v>
      </c>
      <c r="I6" s="237">
        <f aca="true" t="shared" si="0" ref="I6:I15">F6*G6</f>
        <v>45148.6</v>
      </c>
      <c r="J6" s="3"/>
      <c r="K6" s="1"/>
      <c r="L6" s="217"/>
      <c r="M6" s="1"/>
      <c r="N6" s="1"/>
    </row>
    <row r="7" spans="1:14" ht="12.75">
      <c r="A7" s="9"/>
      <c r="B7" s="7"/>
      <c r="C7" s="7"/>
      <c r="D7" s="7"/>
      <c r="E7" s="6"/>
      <c r="F7" s="8">
        <v>0</v>
      </c>
      <c r="G7" s="12">
        <v>0</v>
      </c>
      <c r="H7" s="22">
        <f>I7/'BCIS Smmary'!$L$6</f>
        <v>0</v>
      </c>
      <c r="I7" s="237">
        <f t="shared" si="0"/>
        <v>0</v>
      </c>
      <c r="J7" s="3"/>
      <c r="K7" s="1"/>
      <c r="L7" s="217"/>
      <c r="M7" s="1"/>
      <c r="N7" s="1"/>
    </row>
    <row r="8" spans="1:14" ht="12.75">
      <c r="A8" s="9"/>
      <c r="B8" s="7" t="s">
        <v>369</v>
      </c>
      <c r="C8" s="7"/>
      <c r="D8" s="7"/>
      <c r="E8" s="6" t="s">
        <v>36</v>
      </c>
      <c r="F8" s="8">
        <f>Areas!T38</f>
        <v>321.01</v>
      </c>
      <c r="G8" s="12">
        <v>15</v>
      </c>
      <c r="H8" s="22">
        <f>I8/'BCIS Smmary'!$L$6</f>
        <v>2.1215666058635367</v>
      </c>
      <c r="I8" s="237">
        <f t="shared" si="0"/>
        <v>4815.15</v>
      </c>
      <c r="J8" s="3"/>
      <c r="K8" s="1"/>
      <c r="L8" s="217"/>
      <c r="M8" s="1"/>
      <c r="N8" s="1"/>
    </row>
    <row r="9" spans="1:14" ht="12.75">
      <c r="A9" s="9"/>
      <c r="B9" s="7"/>
      <c r="C9" s="7"/>
      <c r="D9" s="7"/>
      <c r="E9" s="6"/>
      <c r="F9" s="8">
        <v>0</v>
      </c>
      <c r="G9" s="12">
        <v>0</v>
      </c>
      <c r="H9" s="22">
        <f>I9/'BCIS Smmary'!$L$6</f>
        <v>0</v>
      </c>
      <c r="I9" s="237">
        <f t="shared" si="0"/>
        <v>0</v>
      </c>
      <c r="J9" s="3"/>
      <c r="K9" s="1"/>
      <c r="L9" s="1"/>
      <c r="M9" s="1"/>
      <c r="N9" s="1"/>
    </row>
    <row r="10" spans="2:14" ht="12.75">
      <c r="B10" s="179"/>
      <c r="E10" s="26"/>
      <c r="F10" s="8">
        <v>0</v>
      </c>
      <c r="G10" s="12">
        <v>0</v>
      </c>
      <c r="H10" s="22">
        <f>I10/'BCIS Smmary'!$L$6</f>
        <v>0</v>
      </c>
      <c r="I10" s="237">
        <f t="shared" si="0"/>
        <v>0</v>
      </c>
      <c r="J10" s="3"/>
      <c r="K10" s="1"/>
      <c r="L10" s="187"/>
      <c r="M10" s="1"/>
      <c r="N10" s="1"/>
    </row>
    <row r="11" spans="2:14" ht="12.75">
      <c r="B11" t="s">
        <v>370</v>
      </c>
      <c r="E11" s="26"/>
      <c r="F11" s="8">
        <v>0</v>
      </c>
      <c r="G11" s="12">
        <v>0</v>
      </c>
      <c r="H11" s="22">
        <f>I11/'BCIS Smmary'!$L$6</f>
        <v>0</v>
      </c>
      <c r="I11" s="237">
        <f t="shared" si="0"/>
        <v>0</v>
      </c>
      <c r="J11" s="3"/>
      <c r="K11" s="1"/>
      <c r="L11" s="187"/>
      <c r="M11" s="1"/>
      <c r="N11" s="1"/>
    </row>
    <row r="12" spans="5:14" ht="12.75">
      <c r="E12" s="26"/>
      <c r="F12" s="8">
        <v>0</v>
      </c>
      <c r="G12" s="12">
        <v>0</v>
      </c>
      <c r="H12" s="22">
        <f>I12/'BCIS Smmary'!$L$6</f>
        <v>0</v>
      </c>
      <c r="I12" s="237">
        <f t="shared" si="0"/>
        <v>0</v>
      </c>
      <c r="J12" s="3"/>
      <c r="K12" s="217"/>
      <c r="L12" s="187"/>
      <c r="M12" s="1"/>
      <c r="N12" s="1"/>
    </row>
    <row r="13" spans="1:14" ht="12.75">
      <c r="A13" s="37"/>
      <c r="B13" s="37"/>
      <c r="C13" s="30"/>
      <c r="D13" s="37"/>
      <c r="E13" s="26"/>
      <c r="F13" s="8">
        <v>0</v>
      </c>
      <c r="G13" s="12">
        <v>0</v>
      </c>
      <c r="H13" s="22">
        <f>I13/'BCIS Smmary'!$L$6</f>
        <v>0</v>
      </c>
      <c r="I13" s="237">
        <f t="shared" si="0"/>
        <v>0</v>
      </c>
      <c r="J13" s="226"/>
      <c r="K13" s="1"/>
      <c r="L13" s="187"/>
      <c r="M13" s="1"/>
      <c r="N13" s="1"/>
    </row>
    <row r="14" spans="1:14" ht="12.75">
      <c r="A14" s="37"/>
      <c r="B14" s="37"/>
      <c r="C14" s="30"/>
      <c r="D14" s="37"/>
      <c r="E14" s="26"/>
      <c r="F14" s="8">
        <v>0</v>
      </c>
      <c r="G14" s="12">
        <v>0</v>
      </c>
      <c r="H14" s="22">
        <f>I14/'BCIS Smmary'!$L$6</f>
        <v>0</v>
      </c>
      <c r="I14" s="237">
        <f t="shared" si="0"/>
        <v>0</v>
      </c>
      <c r="J14" s="226"/>
      <c r="K14" s="1"/>
      <c r="L14" s="187"/>
      <c r="M14" s="1"/>
      <c r="N14" s="1"/>
    </row>
    <row r="15" spans="1:14" ht="12.75">
      <c r="A15" s="37"/>
      <c r="B15" s="186"/>
      <c r="C15" s="37"/>
      <c r="D15" s="37"/>
      <c r="E15" s="26"/>
      <c r="F15" s="8">
        <v>0</v>
      </c>
      <c r="G15" s="12">
        <v>0</v>
      </c>
      <c r="H15" s="22"/>
      <c r="I15" s="237">
        <f t="shared" si="0"/>
        <v>0</v>
      </c>
      <c r="J15" s="226"/>
      <c r="K15" s="1"/>
      <c r="L15" s="187"/>
      <c r="M15" s="1"/>
      <c r="N15" s="1"/>
    </row>
    <row r="16" spans="1:14" ht="12.75">
      <c r="A16" s="9"/>
      <c r="B16" s="7"/>
      <c r="C16" s="46"/>
      <c r="D16" s="33"/>
      <c r="E16" s="26"/>
      <c r="F16" s="8">
        <v>0</v>
      </c>
      <c r="G16" s="12">
        <v>0</v>
      </c>
      <c r="H16" s="22">
        <f>I16/'BCIS Smmary'!$L$6</f>
        <v>0</v>
      </c>
      <c r="I16" s="237">
        <f>F16*G16</f>
        <v>0</v>
      </c>
      <c r="J16" s="226"/>
      <c r="K16" s="1"/>
      <c r="L16" s="187"/>
      <c r="M16" s="1"/>
      <c r="N16" s="1"/>
    </row>
    <row r="17" spans="5:14" ht="12.75">
      <c r="E17" s="26"/>
      <c r="F17" s="8">
        <v>0</v>
      </c>
      <c r="G17" s="12">
        <v>0</v>
      </c>
      <c r="H17" s="22">
        <f>I17/'BCIS Smmary'!$L$6</f>
        <v>0</v>
      </c>
      <c r="I17" s="237">
        <f>F17*G17</f>
        <v>0</v>
      </c>
      <c r="J17" s="3"/>
      <c r="K17" s="1"/>
      <c r="L17" s="187"/>
      <c r="M17" s="1"/>
      <c r="N17" s="1"/>
    </row>
    <row r="18" spans="1:14" ht="12.75">
      <c r="A18" s="6"/>
      <c r="B18" s="7"/>
      <c r="C18" s="7"/>
      <c r="D18" s="7"/>
      <c r="E18" s="6"/>
      <c r="F18" s="8">
        <v>0</v>
      </c>
      <c r="G18" s="12">
        <v>0</v>
      </c>
      <c r="H18" s="22">
        <f>I18/'BCIS Smmary'!$L$6</f>
        <v>0</v>
      </c>
      <c r="I18" s="237">
        <f aca="true" t="shared" si="1" ref="I18:I31">F18*G18</f>
        <v>0</v>
      </c>
      <c r="J18" s="3"/>
      <c r="K18" s="1"/>
      <c r="L18" s="217"/>
      <c r="M18" s="1"/>
      <c r="N18" s="1"/>
    </row>
    <row r="19" spans="1:14" ht="12.75">
      <c r="A19" s="6"/>
      <c r="B19" s="7"/>
      <c r="C19" s="7"/>
      <c r="D19" s="7"/>
      <c r="E19" s="6"/>
      <c r="F19" s="8">
        <v>0</v>
      </c>
      <c r="G19" s="12">
        <v>0</v>
      </c>
      <c r="H19" s="22">
        <f>I19/'BCIS Smmary'!$L$6</f>
        <v>0</v>
      </c>
      <c r="I19" s="237">
        <f t="shared" si="1"/>
        <v>0</v>
      </c>
      <c r="J19" s="226"/>
      <c r="K19" s="1"/>
      <c r="L19" s="217"/>
      <c r="M19" s="1"/>
      <c r="N19" s="1"/>
    </row>
    <row r="20" spans="1:14" ht="12.75">
      <c r="A20" s="6"/>
      <c r="B20" s="7"/>
      <c r="C20" s="7"/>
      <c r="D20" s="7"/>
      <c r="E20" s="6"/>
      <c r="F20" s="8">
        <v>0</v>
      </c>
      <c r="G20" s="12">
        <v>0</v>
      </c>
      <c r="H20" s="22">
        <f>I20/'BCIS Smmary'!$L$6</f>
        <v>0</v>
      </c>
      <c r="I20" s="237">
        <f t="shared" si="1"/>
        <v>0</v>
      </c>
      <c r="J20" s="226"/>
      <c r="K20" s="1"/>
      <c r="L20" s="217"/>
      <c r="M20" s="1"/>
      <c r="N20" s="1"/>
    </row>
    <row r="21" spans="1:14" ht="12.75">
      <c r="A21" s="6"/>
      <c r="B21" s="7"/>
      <c r="C21" s="7"/>
      <c r="D21" s="7"/>
      <c r="E21" s="6"/>
      <c r="F21" s="8">
        <v>0</v>
      </c>
      <c r="G21" s="12">
        <v>0</v>
      </c>
      <c r="H21" s="22">
        <f>I21/'BCIS Smmary'!$L$6</f>
        <v>0</v>
      </c>
      <c r="I21" s="237">
        <f t="shared" si="1"/>
        <v>0</v>
      </c>
      <c r="J21" s="3"/>
      <c r="K21" s="1"/>
      <c r="L21" s="217"/>
      <c r="M21" s="1"/>
      <c r="N21" s="1"/>
    </row>
    <row r="22" spans="1:14" ht="12.75">
      <c r="A22" s="6"/>
      <c r="B22" s="7"/>
      <c r="C22" s="7"/>
      <c r="D22" s="7"/>
      <c r="E22" s="6"/>
      <c r="F22" s="8">
        <v>0</v>
      </c>
      <c r="G22" s="12">
        <v>0</v>
      </c>
      <c r="H22" s="22">
        <f>I22/'BCIS Smmary'!$L$6</f>
        <v>0</v>
      </c>
      <c r="I22" s="237">
        <f t="shared" si="1"/>
        <v>0</v>
      </c>
      <c r="J22" s="3"/>
      <c r="K22" s="1"/>
      <c r="L22" s="217"/>
      <c r="M22" s="1"/>
      <c r="N22" s="1"/>
    </row>
    <row r="23" spans="1:14" ht="12.75">
      <c r="A23" s="6"/>
      <c r="B23" s="7"/>
      <c r="C23" s="7"/>
      <c r="D23" s="7"/>
      <c r="E23" s="6"/>
      <c r="F23" s="8">
        <v>0</v>
      </c>
      <c r="G23" s="12">
        <v>0</v>
      </c>
      <c r="H23" s="22">
        <f>I23/'BCIS Smmary'!$L$6</f>
        <v>0</v>
      </c>
      <c r="I23" s="237">
        <f t="shared" si="1"/>
        <v>0</v>
      </c>
      <c r="J23" s="3"/>
      <c r="K23" s="1"/>
      <c r="L23" s="217"/>
      <c r="M23" s="1"/>
      <c r="N23" s="1"/>
    </row>
    <row r="24" spans="1:14" ht="12.75">
      <c r="A24" s="6"/>
      <c r="B24" s="7"/>
      <c r="C24" s="7"/>
      <c r="D24" s="7"/>
      <c r="E24" s="6"/>
      <c r="F24" s="8">
        <v>0</v>
      </c>
      <c r="G24" s="12">
        <v>0</v>
      </c>
      <c r="H24" s="22">
        <f>I24/'BCIS Smmary'!$L$6</f>
        <v>0</v>
      </c>
      <c r="I24" s="237">
        <f t="shared" si="1"/>
        <v>0</v>
      </c>
      <c r="J24" s="3"/>
      <c r="K24" s="1"/>
      <c r="L24" s="217"/>
      <c r="M24" s="1"/>
      <c r="N24" s="1"/>
    </row>
    <row r="25" spans="1:14" ht="12.75">
      <c r="A25" s="6"/>
      <c r="B25" s="7"/>
      <c r="C25" s="7"/>
      <c r="D25" s="7"/>
      <c r="E25" s="6"/>
      <c r="F25" s="8">
        <v>0</v>
      </c>
      <c r="G25" s="12">
        <v>0</v>
      </c>
      <c r="H25" s="22">
        <f>I25/'BCIS Smmary'!$L$6</f>
        <v>0</v>
      </c>
      <c r="I25" s="237">
        <f t="shared" si="1"/>
        <v>0</v>
      </c>
      <c r="J25" s="3"/>
      <c r="K25" s="1"/>
      <c r="L25" s="217"/>
      <c r="M25" s="1"/>
      <c r="N25" s="1"/>
    </row>
    <row r="26" spans="1:14" ht="12.75">
      <c r="A26" s="6"/>
      <c r="B26" s="7"/>
      <c r="C26" s="7"/>
      <c r="D26" s="7"/>
      <c r="E26" s="6"/>
      <c r="F26" s="8">
        <v>0</v>
      </c>
      <c r="G26" s="12">
        <v>0</v>
      </c>
      <c r="H26" s="22">
        <f>I26/'BCIS Smmary'!$L$6</f>
        <v>0</v>
      </c>
      <c r="I26" s="237">
        <f t="shared" si="1"/>
        <v>0</v>
      </c>
      <c r="J26" s="3"/>
      <c r="K26" s="1"/>
      <c r="L26" s="217"/>
      <c r="M26" s="1"/>
      <c r="N26" s="1"/>
    </row>
    <row r="27" spans="1:14" ht="12.75">
      <c r="A27" s="6"/>
      <c r="B27" s="7"/>
      <c r="C27" s="7"/>
      <c r="D27" s="7"/>
      <c r="E27" s="6"/>
      <c r="F27" s="8">
        <v>0</v>
      </c>
      <c r="G27" s="12">
        <v>0</v>
      </c>
      <c r="H27" s="22">
        <f>I27/'BCIS Smmary'!$L$6</f>
        <v>0</v>
      </c>
      <c r="I27" s="237">
        <f t="shared" si="1"/>
        <v>0</v>
      </c>
      <c r="J27" s="3"/>
      <c r="K27" s="1"/>
      <c r="L27" s="1"/>
      <c r="M27" s="1"/>
      <c r="N27" s="1"/>
    </row>
    <row r="28" spans="1:14" ht="12.75">
      <c r="A28" s="6"/>
      <c r="B28" s="7"/>
      <c r="C28" s="7"/>
      <c r="D28" s="7"/>
      <c r="E28" s="6"/>
      <c r="F28" s="8">
        <v>0</v>
      </c>
      <c r="G28" s="12">
        <v>0</v>
      </c>
      <c r="H28" s="22">
        <f>I28/'BCIS Smmary'!$L$6</f>
        <v>0</v>
      </c>
      <c r="I28" s="237">
        <f t="shared" si="1"/>
        <v>0</v>
      </c>
      <c r="J28" s="226"/>
      <c r="K28" s="1"/>
      <c r="L28" s="217"/>
      <c r="M28" s="1"/>
      <c r="N28" s="1"/>
    </row>
    <row r="29" spans="1:14" ht="12.75">
      <c r="A29" s="6"/>
      <c r="B29" s="7"/>
      <c r="C29" s="7"/>
      <c r="D29" s="7"/>
      <c r="E29" s="6"/>
      <c r="F29" s="8">
        <v>0</v>
      </c>
      <c r="G29" s="12">
        <v>0</v>
      </c>
      <c r="H29" s="22">
        <f>I29/'BCIS Smmary'!$L$6</f>
        <v>0</v>
      </c>
      <c r="I29" s="237">
        <f t="shared" si="1"/>
        <v>0</v>
      </c>
      <c r="J29" s="3"/>
      <c r="K29" s="1"/>
      <c r="L29" s="217"/>
      <c r="M29" s="1"/>
      <c r="N29" s="1"/>
    </row>
    <row r="30" spans="1:14" ht="12.75">
      <c r="A30" s="6"/>
      <c r="B30" s="7"/>
      <c r="C30" s="7"/>
      <c r="D30" s="7"/>
      <c r="E30" s="6"/>
      <c r="F30" s="8">
        <v>0</v>
      </c>
      <c r="G30" s="12">
        <v>0</v>
      </c>
      <c r="H30" s="22">
        <f>I30/'BCIS Smmary'!$L$6</f>
        <v>0</v>
      </c>
      <c r="I30" s="237">
        <f t="shared" si="1"/>
        <v>0</v>
      </c>
      <c r="J30" s="3"/>
      <c r="K30" s="1"/>
      <c r="L30" s="217"/>
      <c r="M30" s="217"/>
      <c r="N30" s="217"/>
    </row>
    <row r="31" spans="1:14" ht="12.75">
      <c r="A31" s="6"/>
      <c r="B31" s="7"/>
      <c r="C31" s="7"/>
      <c r="D31" s="7"/>
      <c r="E31" s="6"/>
      <c r="F31" s="8">
        <v>0</v>
      </c>
      <c r="G31" s="12">
        <v>0</v>
      </c>
      <c r="H31" s="22">
        <f>I31/'BCIS Smmary'!$L$6</f>
        <v>0</v>
      </c>
      <c r="I31" s="237">
        <f t="shared" si="1"/>
        <v>0</v>
      </c>
      <c r="J31" s="3"/>
      <c r="K31" s="1"/>
      <c r="L31" s="1"/>
      <c r="M31" s="217"/>
      <c r="N31" s="217"/>
    </row>
    <row r="32" spans="1:14" ht="12.75">
      <c r="A32" s="18" t="s">
        <v>20</v>
      </c>
      <c r="B32" s="13"/>
      <c r="C32" s="13"/>
      <c r="D32" s="13"/>
      <c r="E32" s="18"/>
      <c r="F32" s="25"/>
      <c r="G32" s="25"/>
      <c r="H32" s="32">
        <f>I32/'BCIS Smmary'!$L$6</f>
        <v>22.01414774279395</v>
      </c>
      <c r="I32" s="31">
        <f>SUM(I5:I31)</f>
        <v>49963.75</v>
      </c>
      <c r="J32" s="3"/>
      <c r="K32" s="1"/>
      <c r="L32" s="1"/>
      <c r="M32" s="217"/>
      <c r="N32" s="217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ht="12.75">
      <c r="F35" s="1"/>
    </row>
  </sheetData>
  <printOptions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&amp;L&amp;D  &amp;T&amp;C15&amp;R&amp;F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O40"/>
  <sheetViews>
    <sheetView workbookViewId="0" topLeftCell="B1">
      <selection activeCell="B6" sqref="B6:I21"/>
    </sheetView>
  </sheetViews>
  <sheetFormatPr defaultColWidth="9.140625" defaultRowHeight="12.75"/>
  <cols>
    <col min="1" max="1" width="3.421875" style="0" customWidth="1"/>
    <col min="3" max="3" width="10.140625" style="0" customWidth="1"/>
    <col min="4" max="4" width="21.28125" style="0" customWidth="1"/>
    <col min="5" max="5" width="5.7109375" style="0" customWidth="1"/>
    <col min="6" max="6" width="9.28125" style="0" bestFit="1" customWidth="1"/>
    <col min="7" max="7" width="12.00390625" style="0" bestFit="1" customWidth="1"/>
    <col min="8" max="8" width="11.140625" style="0" bestFit="1" customWidth="1"/>
    <col min="9" max="9" width="13.140625" style="0" customWidth="1"/>
    <col min="12" max="13" width="11.421875" style="0" customWidth="1"/>
  </cols>
  <sheetData>
    <row r="1" spans="1:9" ht="12.75">
      <c r="A1" s="57" t="s">
        <v>10</v>
      </c>
      <c r="B1" s="58"/>
      <c r="C1" s="58"/>
      <c r="D1" s="59" t="s">
        <v>21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4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</row>
    <row r="5" spans="1:15" ht="12.75">
      <c r="A5" s="9"/>
      <c r="B5" s="33"/>
      <c r="C5" s="33"/>
      <c r="D5" s="33"/>
      <c r="E5" s="26"/>
      <c r="F5" s="38"/>
      <c r="G5" s="39"/>
      <c r="H5" s="41" t="s">
        <v>8</v>
      </c>
      <c r="I5" s="233"/>
      <c r="J5" s="3"/>
      <c r="K5" s="1"/>
      <c r="L5" s="213"/>
      <c r="M5" s="252" t="s">
        <v>246</v>
      </c>
      <c r="N5" s="251" t="s">
        <v>196</v>
      </c>
      <c r="O5" s="251" t="s">
        <v>197</v>
      </c>
    </row>
    <row r="6" spans="1:15" ht="12.75">
      <c r="A6" s="9"/>
      <c r="B6" s="33" t="s">
        <v>195</v>
      </c>
      <c r="C6" s="33"/>
      <c r="D6" s="33"/>
      <c r="E6" s="26" t="s">
        <v>165</v>
      </c>
      <c r="F6" s="38">
        <f>M12</f>
        <v>29</v>
      </c>
      <c r="G6" s="39">
        <v>1350</v>
      </c>
      <c r="H6" s="41">
        <f>I6/'BCIS Smmary'!$L$7</f>
        <v>1.6025254209160118</v>
      </c>
      <c r="I6" s="233">
        <f aca="true" t="shared" si="0" ref="I6:I15">F6*G6</f>
        <v>39150</v>
      </c>
      <c r="J6" s="3"/>
      <c r="L6" s="217" t="s">
        <v>371</v>
      </c>
      <c r="M6" s="1">
        <v>6</v>
      </c>
      <c r="N6" s="1">
        <v>8</v>
      </c>
      <c r="O6" s="29">
        <v>6</v>
      </c>
    </row>
    <row r="7" spans="1:15" ht="12.75">
      <c r="A7" s="9"/>
      <c r="B7" s="33"/>
      <c r="C7" s="33"/>
      <c r="D7" s="33"/>
      <c r="E7" s="26"/>
      <c r="F7" s="38">
        <v>0</v>
      </c>
      <c r="G7" s="39">
        <v>0</v>
      </c>
      <c r="H7" s="41">
        <f>I7/'BCIS Smmary'!$L$7</f>
        <v>0</v>
      </c>
      <c r="I7" s="233">
        <f t="shared" si="0"/>
        <v>0</v>
      </c>
      <c r="J7" s="3"/>
      <c r="L7" s="217" t="s">
        <v>280</v>
      </c>
      <c r="M7" s="1">
        <v>5</v>
      </c>
      <c r="N7" s="1">
        <v>10</v>
      </c>
      <c r="O7" s="29">
        <v>5</v>
      </c>
    </row>
    <row r="8" spans="2:15" ht="12.75">
      <c r="B8" t="s">
        <v>373</v>
      </c>
      <c r="E8" s="26" t="s">
        <v>165</v>
      </c>
      <c r="F8" s="38">
        <v>11</v>
      </c>
      <c r="G8" s="39">
        <v>500</v>
      </c>
      <c r="H8" s="41">
        <f>I8/'BCIS Smmary'!$L$7</f>
        <v>0.22513128518615746</v>
      </c>
      <c r="I8" s="233">
        <f t="shared" si="0"/>
        <v>5500</v>
      </c>
      <c r="J8" s="226"/>
      <c r="L8" s="217" t="s">
        <v>372</v>
      </c>
      <c r="M8" s="1">
        <v>7</v>
      </c>
      <c r="N8" s="1">
        <v>7</v>
      </c>
      <c r="O8" s="29">
        <v>7</v>
      </c>
    </row>
    <row r="9" spans="4:15" ht="12.75">
      <c r="D9" s="54"/>
      <c r="E9" s="26"/>
      <c r="F9" s="38">
        <v>0</v>
      </c>
      <c r="G9" s="39">
        <v>0</v>
      </c>
      <c r="H9" s="41">
        <f>I9/'BCIS Smmary'!$L$7</f>
        <v>0</v>
      </c>
      <c r="I9" s="233">
        <f t="shared" si="0"/>
        <v>0</v>
      </c>
      <c r="J9" s="3"/>
      <c r="K9" s="217"/>
      <c r="L9" s="217" t="s">
        <v>336</v>
      </c>
      <c r="M9" s="29">
        <v>7</v>
      </c>
      <c r="N9" s="29">
        <v>9</v>
      </c>
      <c r="O9" s="254">
        <v>7</v>
      </c>
    </row>
    <row r="10" spans="5:15" ht="12.75">
      <c r="E10" s="26"/>
      <c r="F10" s="38">
        <v>0</v>
      </c>
      <c r="G10" s="39">
        <v>0</v>
      </c>
      <c r="H10" s="41">
        <f>I10/'BCIS Smmary'!$L$7</f>
        <v>0</v>
      </c>
      <c r="I10" s="233">
        <f t="shared" si="0"/>
        <v>0</v>
      </c>
      <c r="J10" s="3"/>
      <c r="K10" s="217"/>
      <c r="L10" s="187" t="s">
        <v>344</v>
      </c>
      <c r="M10" s="29">
        <v>3</v>
      </c>
      <c r="N10" s="29">
        <v>10</v>
      </c>
      <c r="O10" s="29">
        <v>3</v>
      </c>
    </row>
    <row r="11" spans="1:15" ht="12.75">
      <c r="A11" s="9"/>
      <c r="B11" s="33" t="s">
        <v>196</v>
      </c>
      <c r="C11" s="33"/>
      <c r="D11" s="98"/>
      <c r="E11" s="26" t="s">
        <v>165</v>
      </c>
      <c r="F11" s="38">
        <f>N12</f>
        <v>44</v>
      </c>
      <c r="G11" s="39">
        <v>450</v>
      </c>
      <c r="H11" s="41">
        <f>I11/'BCIS Smmary'!$L$7</f>
        <v>0.8104726266701668</v>
      </c>
      <c r="I11" s="233">
        <f t="shared" si="0"/>
        <v>19800</v>
      </c>
      <c r="J11" s="3"/>
      <c r="K11" s="1"/>
      <c r="L11" s="187" t="s">
        <v>345</v>
      </c>
      <c r="M11" s="29">
        <v>1</v>
      </c>
      <c r="N11" s="29">
        <v>0</v>
      </c>
      <c r="O11" s="29">
        <v>1</v>
      </c>
    </row>
    <row r="12" spans="1:15" ht="12.75">
      <c r="A12" s="9"/>
      <c r="B12" s="33"/>
      <c r="C12" s="33"/>
      <c r="D12" s="97"/>
      <c r="E12" s="26"/>
      <c r="F12" s="38">
        <v>0</v>
      </c>
      <c r="G12" s="39">
        <v>0</v>
      </c>
      <c r="H12" s="41">
        <f>I12/'BCIS Smmary'!$L$7</f>
        <v>0</v>
      </c>
      <c r="I12" s="233">
        <f t="shared" si="0"/>
        <v>0</v>
      </c>
      <c r="J12" s="3"/>
      <c r="K12" s="29"/>
      <c r="L12" s="187"/>
      <c r="M12" s="253">
        <f>SUM(M6:M11)</f>
        <v>29</v>
      </c>
      <c r="N12" s="253">
        <f>SUM(N6:N11)</f>
        <v>44</v>
      </c>
      <c r="O12" s="253">
        <f>SUM(O6:O11)</f>
        <v>29</v>
      </c>
    </row>
    <row r="13" spans="1:15" ht="12.75">
      <c r="A13" s="9"/>
      <c r="B13" s="33" t="s">
        <v>197</v>
      </c>
      <c r="D13" s="99"/>
      <c r="E13" s="26" t="s">
        <v>165</v>
      </c>
      <c r="F13" s="38">
        <f>O12</f>
        <v>29</v>
      </c>
      <c r="G13" s="39">
        <v>500</v>
      </c>
      <c r="H13" s="41">
        <f>I13/'BCIS Smmary'!$L$7</f>
        <v>0.5935279336725969</v>
      </c>
      <c r="I13" s="233">
        <f t="shared" si="0"/>
        <v>14500</v>
      </c>
      <c r="J13" s="226"/>
      <c r="K13" s="29"/>
      <c r="L13" s="187"/>
      <c r="M13" s="29"/>
      <c r="N13" s="29"/>
      <c r="O13" s="29"/>
    </row>
    <row r="14" spans="1:15" ht="12.75">
      <c r="A14" s="9"/>
      <c r="B14" s="33"/>
      <c r="C14" s="33"/>
      <c r="D14" s="97"/>
      <c r="E14" s="26"/>
      <c r="F14" s="38">
        <v>0</v>
      </c>
      <c r="G14" s="39">
        <v>0</v>
      </c>
      <c r="H14" s="41">
        <f>I14/'BCIS Smmary'!$L$7</f>
        <v>0</v>
      </c>
      <c r="I14" s="233">
        <f t="shared" si="0"/>
        <v>0</v>
      </c>
      <c r="J14" s="3"/>
      <c r="K14" s="29"/>
      <c r="L14" s="187"/>
      <c r="M14" s="29"/>
      <c r="N14" s="29"/>
      <c r="O14" s="29"/>
    </row>
    <row r="15" spans="1:15" ht="12.75">
      <c r="A15" s="9"/>
      <c r="B15" s="33" t="s">
        <v>255</v>
      </c>
      <c r="C15" s="33"/>
      <c r="D15" s="33"/>
      <c r="E15" s="26" t="s">
        <v>165</v>
      </c>
      <c r="F15" s="38">
        <f>'External walls,Doors and Window'!U68</f>
        <v>121.50000000000006</v>
      </c>
      <c r="G15" s="39">
        <v>15</v>
      </c>
      <c r="H15" s="41">
        <f>I15/'BCIS Smmary'!$L$7</f>
        <v>0.07460032131850404</v>
      </c>
      <c r="I15" s="233">
        <f t="shared" si="0"/>
        <v>1822.500000000001</v>
      </c>
      <c r="J15" s="226"/>
      <c r="K15" s="29"/>
      <c r="L15" s="187"/>
      <c r="M15" s="29"/>
      <c r="N15" s="29"/>
      <c r="O15" s="29"/>
    </row>
    <row r="16" spans="1:15" ht="12.75">
      <c r="A16" s="9"/>
      <c r="B16" s="33"/>
      <c r="C16" s="33"/>
      <c r="D16" s="33"/>
      <c r="E16" s="26"/>
      <c r="F16" s="38">
        <v>0</v>
      </c>
      <c r="G16" s="39">
        <v>0</v>
      </c>
      <c r="H16" s="41">
        <f>I16/'BCIS Smmary'!$L$7</f>
        <v>0</v>
      </c>
      <c r="I16" s="233">
        <f aca="true" t="shared" si="1" ref="I16:I37">F16*G16</f>
        <v>0</v>
      </c>
      <c r="J16" s="3"/>
      <c r="K16" s="29"/>
      <c r="L16" s="187"/>
      <c r="M16" s="29"/>
      <c r="N16" s="29"/>
      <c r="O16" s="29"/>
    </row>
    <row r="17" spans="1:15" ht="12.75">
      <c r="A17" s="9"/>
      <c r="B17" s="33" t="s">
        <v>257</v>
      </c>
      <c r="C17" s="33"/>
      <c r="D17" s="46"/>
      <c r="E17" s="26" t="s">
        <v>256</v>
      </c>
      <c r="F17" s="38">
        <v>11</v>
      </c>
      <c r="G17" s="39">
        <v>35</v>
      </c>
      <c r="H17" s="41">
        <f>I17/'BCIS Smmary'!$L$7</f>
        <v>0.015759189963031023</v>
      </c>
      <c r="I17" s="233">
        <f t="shared" si="1"/>
        <v>385</v>
      </c>
      <c r="J17" s="3"/>
      <c r="K17" s="29"/>
      <c r="L17" s="187"/>
      <c r="M17" s="29"/>
      <c r="N17" s="29"/>
      <c r="O17" s="29"/>
    </row>
    <row r="18" spans="1:15" ht="12.75">
      <c r="A18" s="9" t="s">
        <v>8</v>
      </c>
      <c r="B18" s="7"/>
      <c r="C18" s="7"/>
      <c r="D18" s="7"/>
      <c r="E18" s="6"/>
      <c r="F18" s="38">
        <v>0</v>
      </c>
      <c r="G18" s="39">
        <v>0</v>
      </c>
      <c r="H18" s="41">
        <f>I18/'BCIS Smmary'!$L$7</f>
        <v>0</v>
      </c>
      <c r="I18" s="233">
        <f t="shared" si="1"/>
        <v>0</v>
      </c>
      <c r="J18" s="3"/>
      <c r="K18" s="29"/>
      <c r="L18" s="217"/>
      <c r="M18" s="29"/>
      <c r="N18" s="29"/>
      <c r="O18" s="29"/>
    </row>
    <row r="19" spans="1:15" ht="12.75">
      <c r="A19" s="9"/>
      <c r="B19" s="7" t="s">
        <v>258</v>
      </c>
      <c r="C19" s="7"/>
      <c r="D19" s="46"/>
      <c r="E19" s="26" t="s">
        <v>165</v>
      </c>
      <c r="F19" s="38">
        <v>3</v>
      </c>
      <c r="G19" s="39">
        <v>500</v>
      </c>
      <c r="H19" s="41">
        <f>I19/'BCIS Smmary'!$L$7</f>
        <v>0.06139944141440658</v>
      </c>
      <c r="I19" s="233">
        <f t="shared" si="1"/>
        <v>1500</v>
      </c>
      <c r="J19" s="226"/>
      <c r="K19" s="29"/>
      <c r="L19" s="217"/>
      <c r="M19" s="29"/>
      <c r="N19" s="29"/>
      <c r="O19" s="29"/>
    </row>
    <row r="20" spans="1:15" ht="12.75">
      <c r="A20" s="9"/>
      <c r="B20" s="7"/>
      <c r="C20" s="7"/>
      <c r="D20" s="7"/>
      <c r="E20" s="6"/>
      <c r="F20" s="38">
        <v>0</v>
      </c>
      <c r="G20" s="39">
        <v>0</v>
      </c>
      <c r="H20" s="41">
        <f>I20/'BCIS Smmary'!$L$7</f>
        <v>0</v>
      </c>
      <c r="I20" s="233">
        <f t="shared" si="1"/>
        <v>0</v>
      </c>
      <c r="J20" s="226"/>
      <c r="K20" s="29"/>
      <c r="L20" s="217"/>
      <c r="M20" s="29"/>
      <c r="N20" s="29"/>
      <c r="O20" s="29"/>
    </row>
    <row r="21" spans="1:15" ht="12.75">
      <c r="A21" s="9"/>
      <c r="B21" s="7"/>
      <c r="C21" s="7"/>
      <c r="D21" s="46"/>
      <c r="E21" s="26"/>
      <c r="F21" s="38">
        <v>0</v>
      </c>
      <c r="G21" s="39">
        <v>0</v>
      </c>
      <c r="H21" s="41">
        <f>I21/'BCIS Smmary'!$L$7</f>
        <v>0</v>
      </c>
      <c r="I21" s="233">
        <f t="shared" si="1"/>
        <v>0</v>
      </c>
      <c r="J21" s="3"/>
      <c r="K21" s="29"/>
      <c r="L21" s="217"/>
      <c r="M21" s="29"/>
      <c r="N21" s="29"/>
      <c r="O21" s="29"/>
    </row>
    <row r="22" spans="1:15" ht="12.75">
      <c r="A22" s="9"/>
      <c r="B22" s="7"/>
      <c r="C22" s="7"/>
      <c r="D22" s="7"/>
      <c r="E22" s="6"/>
      <c r="F22" s="38">
        <v>0</v>
      </c>
      <c r="G22" s="39">
        <v>0</v>
      </c>
      <c r="H22" s="41">
        <f>I22/'BCIS Smmary'!$L$7</f>
        <v>0</v>
      </c>
      <c r="I22" s="233">
        <f t="shared" si="1"/>
        <v>0</v>
      </c>
      <c r="J22" s="3"/>
      <c r="K22" s="29"/>
      <c r="L22" s="217"/>
      <c r="M22" s="29"/>
      <c r="N22" s="29"/>
      <c r="O22" s="29"/>
    </row>
    <row r="23" spans="1:15" ht="12.75">
      <c r="A23" s="9"/>
      <c r="B23" s="7"/>
      <c r="C23" s="7"/>
      <c r="D23" s="7"/>
      <c r="E23" s="6"/>
      <c r="F23" s="38">
        <v>0</v>
      </c>
      <c r="G23" s="39">
        <v>0</v>
      </c>
      <c r="H23" s="41">
        <f>I23/'BCIS Smmary'!$L$7</f>
        <v>0</v>
      </c>
      <c r="I23" s="233">
        <f t="shared" si="1"/>
        <v>0</v>
      </c>
      <c r="J23" s="3"/>
      <c r="K23" s="29"/>
      <c r="L23" s="217"/>
      <c r="M23" s="29"/>
      <c r="N23" s="29"/>
      <c r="O23" s="30"/>
    </row>
    <row r="24" spans="1:12" ht="12.75">
      <c r="A24" s="9"/>
      <c r="B24" s="7"/>
      <c r="C24" s="7"/>
      <c r="D24" s="7"/>
      <c r="E24" s="6"/>
      <c r="F24" s="38">
        <v>0</v>
      </c>
      <c r="G24" s="39">
        <v>0</v>
      </c>
      <c r="H24" s="41">
        <f>I24/'BCIS Smmary'!$L$7</f>
        <v>0</v>
      </c>
      <c r="I24" s="233">
        <f t="shared" si="1"/>
        <v>0</v>
      </c>
      <c r="J24" s="3"/>
      <c r="K24" s="1"/>
      <c r="L24" s="217"/>
    </row>
    <row r="25" spans="1:14" ht="12.75">
      <c r="A25" s="9"/>
      <c r="B25" s="7"/>
      <c r="C25" s="7"/>
      <c r="D25" s="7"/>
      <c r="E25" s="6"/>
      <c r="F25" s="38">
        <v>0</v>
      </c>
      <c r="G25" s="39">
        <v>0</v>
      </c>
      <c r="H25" s="41">
        <f>I25/'BCIS Smmary'!$L$7</f>
        <v>0</v>
      </c>
      <c r="I25" s="233">
        <f t="shared" si="1"/>
        <v>0</v>
      </c>
      <c r="J25" s="3"/>
      <c r="K25" s="1"/>
      <c r="L25" s="217"/>
      <c r="M25" s="217"/>
      <c r="N25" s="1"/>
    </row>
    <row r="26" spans="1:14" ht="12.75">
      <c r="A26" s="9"/>
      <c r="B26" s="7"/>
      <c r="C26" s="7"/>
      <c r="D26" s="7"/>
      <c r="E26" s="6"/>
      <c r="F26" s="38">
        <v>0</v>
      </c>
      <c r="G26" s="39">
        <v>0</v>
      </c>
      <c r="H26" s="41">
        <f>I26/'BCIS Smmary'!$L$7</f>
        <v>0</v>
      </c>
      <c r="I26" s="233">
        <f t="shared" si="1"/>
        <v>0</v>
      </c>
      <c r="J26" s="3"/>
      <c r="K26" s="1"/>
      <c r="L26" s="217"/>
      <c r="M26" s="1"/>
      <c r="N26" s="1"/>
    </row>
    <row r="27" spans="1:14" ht="12.75">
      <c r="A27" s="9"/>
      <c r="B27" s="7"/>
      <c r="C27" s="7"/>
      <c r="D27" s="7"/>
      <c r="E27" s="6"/>
      <c r="F27" s="38">
        <v>0</v>
      </c>
      <c r="G27" s="39">
        <v>0</v>
      </c>
      <c r="H27" s="41">
        <f>I27/'BCIS Smmary'!$L$7</f>
        <v>0</v>
      </c>
      <c r="I27" s="233">
        <f t="shared" si="1"/>
        <v>0</v>
      </c>
      <c r="J27" s="3"/>
      <c r="K27" s="1"/>
      <c r="L27" s="1"/>
      <c r="M27" s="1"/>
      <c r="N27" s="1"/>
    </row>
    <row r="28" spans="1:14" ht="12.75">
      <c r="A28" s="9"/>
      <c r="B28" s="7"/>
      <c r="C28" s="7"/>
      <c r="D28" s="7"/>
      <c r="E28" s="6"/>
      <c r="F28" s="38">
        <v>0</v>
      </c>
      <c r="G28" s="39">
        <v>0</v>
      </c>
      <c r="H28" s="41">
        <f>I28/'BCIS Smmary'!$L$7</f>
        <v>0</v>
      </c>
      <c r="I28" s="233">
        <f t="shared" si="1"/>
        <v>0</v>
      </c>
      <c r="J28" s="226"/>
      <c r="K28" s="1"/>
      <c r="L28" s="217"/>
      <c r="M28" s="1"/>
      <c r="N28" s="1"/>
    </row>
    <row r="29" spans="1:14" ht="12.75">
      <c r="A29" s="9"/>
      <c r="B29" s="7"/>
      <c r="C29" s="7"/>
      <c r="D29" s="7"/>
      <c r="E29" s="6"/>
      <c r="F29" s="38">
        <v>0</v>
      </c>
      <c r="G29" s="39">
        <v>0</v>
      </c>
      <c r="H29" s="41">
        <f>I29/'BCIS Smmary'!$L$7</f>
        <v>0</v>
      </c>
      <c r="I29" s="233">
        <f t="shared" si="1"/>
        <v>0</v>
      </c>
      <c r="J29" s="3"/>
      <c r="K29" s="1"/>
      <c r="L29" s="217"/>
      <c r="M29" s="1"/>
      <c r="N29" s="1"/>
    </row>
    <row r="30" spans="1:14" ht="12.75">
      <c r="A30" s="9"/>
      <c r="B30" s="7"/>
      <c r="C30" s="7"/>
      <c r="D30" s="7"/>
      <c r="E30" s="6"/>
      <c r="F30" s="38">
        <v>0</v>
      </c>
      <c r="G30" s="39">
        <v>0</v>
      </c>
      <c r="H30" s="41">
        <f>I30/'BCIS Smmary'!$L$7</f>
        <v>0</v>
      </c>
      <c r="I30" s="233">
        <f t="shared" si="1"/>
        <v>0</v>
      </c>
      <c r="J30" s="3"/>
      <c r="K30" s="1"/>
      <c r="L30" s="217"/>
      <c r="M30" s="217"/>
      <c r="N30" s="217"/>
    </row>
    <row r="31" spans="1:14" ht="12.75">
      <c r="A31" s="9"/>
      <c r="B31" s="7"/>
      <c r="C31" s="7"/>
      <c r="D31" s="7"/>
      <c r="E31" s="6"/>
      <c r="F31" s="38">
        <v>0</v>
      </c>
      <c r="G31" s="39">
        <v>0</v>
      </c>
      <c r="H31" s="41">
        <f>I31/'BCIS Smmary'!$L$7</f>
        <v>0</v>
      </c>
      <c r="I31" s="233">
        <f t="shared" si="1"/>
        <v>0</v>
      </c>
      <c r="J31" s="3"/>
      <c r="K31" s="1"/>
      <c r="L31" s="1"/>
      <c r="M31" s="217"/>
      <c r="N31" s="217"/>
    </row>
    <row r="32" spans="1:14" ht="12.75">
      <c r="A32" s="9"/>
      <c r="B32" s="7"/>
      <c r="C32" s="7"/>
      <c r="D32" s="7"/>
      <c r="E32" s="6"/>
      <c r="F32" s="38">
        <v>0</v>
      </c>
      <c r="G32" s="39">
        <v>0</v>
      </c>
      <c r="H32" s="41">
        <f>I32/'BCIS Smmary'!$L$7</f>
        <v>0</v>
      </c>
      <c r="I32" s="233">
        <f t="shared" si="1"/>
        <v>0</v>
      </c>
      <c r="J32" s="3"/>
      <c r="K32" s="1"/>
      <c r="L32" s="1"/>
      <c r="M32" s="217"/>
      <c r="N32" s="217"/>
    </row>
    <row r="33" spans="1:14" ht="12.75">
      <c r="A33" s="6"/>
      <c r="B33" s="7"/>
      <c r="C33" s="7"/>
      <c r="D33" s="7"/>
      <c r="E33" s="6"/>
      <c r="F33" s="38">
        <v>0</v>
      </c>
      <c r="G33" s="39">
        <v>0</v>
      </c>
      <c r="H33" s="41">
        <f>I33/'BCIS Smmary'!$L$7</f>
        <v>0</v>
      </c>
      <c r="I33" s="233">
        <f t="shared" si="1"/>
        <v>0</v>
      </c>
      <c r="J33" s="3"/>
      <c r="K33" s="1"/>
      <c r="L33" s="1"/>
      <c r="M33" s="1"/>
      <c r="N33" s="1"/>
    </row>
    <row r="34" spans="1:14" ht="12.75">
      <c r="A34" s="6"/>
      <c r="B34" s="7"/>
      <c r="C34" s="7"/>
      <c r="D34" s="7"/>
      <c r="E34" s="6"/>
      <c r="F34" s="38">
        <v>0</v>
      </c>
      <c r="G34" s="39">
        <v>0</v>
      </c>
      <c r="H34" s="41">
        <f>I34/'BCIS Smmary'!$L$7</f>
        <v>0</v>
      </c>
      <c r="I34" s="233">
        <f t="shared" si="1"/>
        <v>0</v>
      </c>
      <c r="J34" s="3"/>
      <c r="K34" s="1"/>
      <c r="L34" s="1"/>
      <c r="M34" s="1"/>
      <c r="N34" s="1"/>
    </row>
    <row r="35" spans="1:14" ht="12.75">
      <c r="A35" s="6"/>
      <c r="B35" s="7"/>
      <c r="C35" s="7"/>
      <c r="D35" s="7"/>
      <c r="E35" s="6"/>
      <c r="F35" s="38">
        <v>0</v>
      </c>
      <c r="G35" s="39">
        <v>0</v>
      </c>
      <c r="H35" s="41">
        <f>I35/'BCIS Smmary'!$L$7</f>
        <v>0</v>
      </c>
      <c r="I35" s="233">
        <f t="shared" si="1"/>
        <v>0</v>
      </c>
      <c r="J35" s="3"/>
      <c r="K35" s="1"/>
      <c r="L35" s="1"/>
      <c r="M35" s="1"/>
      <c r="N35" s="1"/>
    </row>
    <row r="36" spans="1:14" ht="12.75">
      <c r="A36" s="6"/>
      <c r="B36" s="7"/>
      <c r="C36" s="7"/>
      <c r="D36" s="7"/>
      <c r="E36" s="6"/>
      <c r="F36" s="38">
        <v>0</v>
      </c>
      <c r="G36" s="39">
        <v>0</v>
      </c>
      <c r="H36" s="41">
        <f>I36/'BCIS Smmary'!$L$7</f>
        <v>0</v>
      </c>
      <c r="I36" s="233">
        <f t="shared" si="1"/>
        <v>0</v>
      </c>
      <c r="J36" s="3"/>
      <c r="K36" s="1"/>
      <c r="L36" s="1"/>
      <c r="M36" s="1"/>
      <c r="N36" s="1"/>
    </row>
    <row r="37" spans="1:14" ht="12.75">
      <c r="A37" s="6"/>
      <c r="B37" s="7"/>
      <c r="C37" s="7"/>
      <c r="D37" s="7"/>
      <c r="E37" s="6"/>
      <c r="F37" s="38">
        <v>0</v>
      </c>
      <c r="G37" s="39">
        <v>0</v>
      </c>
      <c r="H37" s="41">
        <f>I37/'BCIS Smmary'!$L$7</f>
        <v>0</v>
      </c>
      <c r="I37" s="233">
        <f t="shared" si="1"/>
        <v>0</v>
      </c>
      <c r="J37" s="3"/>
      <c r="K37" s="1"/>
      <c r="L37" s="1"/>
      <c r="M37" s="1"/>
      <c r="N37" s="1"/>
    </row>
    <row r="38" spans="1:10" ht="12.75">
      <c r="A38" s="18" t="s">
        <v>22</v>
      </c>
      <c r="B38" s="13"/>
      <c r="C38" s="13"/>
      <c r="D38" s="13"/>
      <c r="E38" s="18"/>
      <c r="F38" s="25"/>
      <c r="G38" s="25"/>
      <c r="H38" s="189">
        <f>I38/'BCIS Smmary'!$L$7</f>
        <v>3.3834162191408748</v>
      </c>
      <c r="I38" s="27">
        <f>SUM(I5:I37)</f>
        <v>82657.5</v>
      </c>
      <c r="J38" s="1"/>
    </row>
    <row r="39" spans="1:10" ht="12.75">
      <c r="A39" s="3"/>
      <c r="B39" s="1"/>
      <c r="C39" s="1"/>
      <c r="D39" s="1"/>
      <c r="E39" s="1"/>
      <c r="F39" s="1"/>
      <c r="G39" s="1"/>
      <c r="H39" s="1"/>
      <c r="I39" s="1"/>
      <c r="J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printOptions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&amp;L&amp;D  &amp;T&amp;C16
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75"/>
  <sheetViews>
    <sheetView workbookViewId="0" topLeftCell="A1">
      <selection activeCell="B6" sqref="B6:I35"/>
    </sheetView>
  </sheetViews>
  <sheetFormatPr defaultColWidth="9.140625" defaultRowHeight="12.75"/>
  <cols>
    <col min="1" max="1" width="3.7109375" style="0" customWidth="1"/>
    <col min="3" max="3" width="10.00390625" style="0" customWidth="1"/>
    <col min="4" max="4" width="20.140625" style="0" customWidth="1"/>
    <col min="5" max="5" width="5.7109375" style="0" customWidth="1"/>
    <col min="6" max="6" width="9.421875" style="0" bestFit="1" customWidth="1"/>
    <col min="7" max="8" width="13.140625" style="0" bestFit="1" customWidth="1"/>
    <col min="9" max="9" width="13.140625" style="0" customWidth="1"/>
    <col min="11" max="11" width="13.00390625" style="0" bestFit="1" customWidth="1"/>
    <col min="12" max="12" width="12.00390625" style="0" customWidth="1"/>
    <col min="14" max="14" width="15.28125" style="0" customWidth="1"/>
  </cols>
  <sheetData>
    <row r="1" spans="1:9" ht="12.75">
      <c r="A1" s="81" t="s">
        <v>10</v>
      </c>
      <c r="B1" s="58"/>
      <c r="C1" s="58"/>
      <c r="D1" s="59" t="s">
        <v>23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 t="s">
        <v>24</v>
      </c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3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14"/>
      <c r="M4" s="214"/>
    </row>
    <row r="5" spans="1:16" ht="12.75">
      <c r="A5" s="9"/>
      <c r="B5" s="33"/>
      <c r="C5" s="33"/>
      <c r="D5" s="33"/>
      <c r="E5" s="26"/>
      <c r="F5" s="8"/>
      <c r="G5" s="12"/>
      <c r="H5" s="22" t="s">
        <v>8</v>
      </c>
      <c r="I5" s="187"/>
      <c r="J5" s="3"/>
      <c r="K5" s="1"/>
      <c r="L5" s="252" t="s">
        <v>247</v>
      </c>
      <c r="M5" s="251" t="s">
        <v>199</v>
      </c>
      <c r="N5" s="251" t="s">
        <v>248</v>
      </c>
      <c r="O5" s="255" t="s">
        <v>249</v>
      </c>
      <c r="P5" s="1"/>
    </row>
    <row r="6" spans="1:16" ht="12.75">
      <c r="A6" s="9"/>
      <c r="B6" s="95" t="s">
        <v>198</v>
      </c>
      <c r="C6" s="33"/>
      <c r="D6" s="33"/>
      <c r="E6" s="26"/>
      <c r="F6" s="8">
        <v>0</v>
      </c>
      <c r="G6" s="12">
        <v>0</v>
      </c>
      <c r="H6" s="22">
        <f>I6/'BCIS Smmary'!$L$6</f>
        <v>0</v>
      </c>
      <c r="I6" s="187">
        <f aca="true" t="shared" si="0" ref="I6:I37">F6*G6</f>
        <v>0</v>
      </c>
      <c r="J6" s="3"/>
      <c r="K6" t="s">
        <v>137</v>
      </c>
      <c r="L6" s="1">
        <v>6</v>
      </c>
      <c r="M6" s="1">
        <v>6</v>
      </c>
      <c r="N6" s="29">
        <v>6</v>
      </c>
      <c r="P6" s="1"/>
    </row>
    <row r="7" spans="1:16" ht="12.75">
      <c r="A7" s="9"/>
      <c r="B7" s="33"/>
      <c r="C7" s="33"/>
      <c r="D7" s="33"/>
      <c r="E7" s="26"/>
      <c r="F7" s="8">
        <v>0</v>
      </c>
      <c r="G7" s="12">
        <v>0</v>
      </c>
      <c r="H7" s="22">
        <f>I7/'BCIS Smmary'!$L$6</f>
        <v>0</v>
      </c>
      <c r="I7" s="187">
        <f t="shared" si="0"/>
        <v>0</v>
      </c>
      <c r="J7" s="3"/>
      <c r="K7" t="s">
        <v>38</v>
      </c>
      <c r="L7" s="1">
        <v>7</v>
      </c>
      <c r="M7" s="1">
        <v>7</v>
      </c>
      <c r="N7" s="29">
        <v>6</v>
      </c>
      <c r="P7" s="1"/>
    </row>
    <row r="8" spans="1:16" ht="12.75">
      <c r="A8" s="9"/>
      <c r="B8" s="33"/>
      <c r="C8" s="33" t="s">
        <v>259</v>
      </c>
      <c r="D8" s="33"/>
      <c r="E8" s="26" t="s">
        <v>165</v>
      </c>
      <c r="F8" s="8">
        <f>L13</f>
        <v>32</v>
      </c>
      <c r="G8" s="12">
        <v>300</v>
      </c>
      <c r="H8" s="22">
        <f>I8/'BCIS Smmary'!$L$6</f>
        <v>4.229782959261903</v>
      </c>
      <c r="I8" s="187">
        <f t="shared" si="0"/>
        <v>9600</v>
      </c>
      <c r="J8" s="3"/>
      <c r="K8" t="s">
        <v>132</v>
      </c>
      <c r="L8" s="1">
        <v>7</v>
      </c>
      <c r="M8" s="1">
        <v>7</v>
      </c>
      <c r="N8" s="29">
        <v>7</v>
      </c>
      <c r="P8" s="1"/>
    </row>
    <row r="9" spans="1:16" ht="12.75">
      <c r="A9" s="9"/>
      <c r="B9" s="33"/>
      <c r="C9" s="33" t="s">
        <v>199</v>
      </c>
      <c r="D9" s="33"/>
      <c r="E9" s="26" t="s">
        <v>165</v>
      </c>
      <c r="F9" s="8">
        <f>M13</f>
        <v>32</v>
      </c>
      <c r="G9" s="12">
        <v>150</v>
      </c>
      <c r="H9" s="22">
        <f>I9/'BCIS Smmary'!$L$6</f>
        <v>2.1148914796309515</v>
      </c>
      <c r="I9" s="187">
        <f t="shared" si="0"/>
        <v>4800</v>
      </c>
      <c r="J9" s="3"/>
      <c r="K9" s="217" t="s">
        <v>133</v>
      </c>
      <c r="L9" s="29">
        <v>7</v>
      </c>
      <c r="M9" s="29">
        <v>7</v>
      </c>
      <c r="N9" s="254">
        <v>7</v>
      </c>
      <c r="P9" s="1"/>
    </row>
    <row r="10" spans="1:16" ht="12" customHeight="1">
      <c r="A10" s="9"/>
      <c r="B10" s="33"/>
      <c r="C10" s="33" t="s">
        <v>200</v>
      </c>
      <c r="D10" s="54"/>
      <c r="E10" s="26" t="s">
        <v>165</v>
      </c>
      <c r="F10" s="8">
        <f>N13</f>
        <v>31</v>
      </c>
      <c r="G10" s="12">
        <v>450</v>
      </c>
      <c r="H10" s="22">
        <f>I10/'BCIS Smmary'!$L$6</f>
        <v>6.146403362677453</v>
      </c>
      <c r="I10" s="187">
        <f t="shared" si="0"/>
        <v>13950</v>
      </c>
      <c r="J10" s="3"/>
      <c r="K10" s="217" t="s">
        <v>134</v>
      </c>
      <c r="L10" s="29">
        <v>5</v>
      </c>
      <c r="M10" s="29">
        <v>5</v>
      </c>
      <c r="N10" s="29">
        <v>5</v>
      </c>
      <c r="P10" s="1"/>
    </row>
    <row r="11" spans="1:16" ht="12.75">
      <c r="A11" s="9"/>
      <c r="B11" s="33"/>
      <c r="C11" s="33"/>
      <c r="D11" s="33"/>
      <c r="E11" s="26"/>
      <c r="F11" s="8">
        <f>O13</f>
        <v>0</v>
      </c>
      <c r="G11" s="12"/>
      <c r="H11" s="22">
        <f>I11/'BCIS Smmary'!$L$6</f>
        <v>0</v>
      </c>
      <c r="I11" s="187">
        <f t="shared" si="0"/>
        <v>0</v>
      </c>
      <c r="J11" s="3"/>
      <c r="K11" s="1" t="s">
        <v>135</v>
      </c>
      <c r="L11" s="29">
        <v>0</v>
      </c>
      <c r="M11" s="29">
        <v>0</v>
      </c>
      <c r="N11" s="29">
        <v>0</v>
      </c>
      <c r="P11" s="1"/>
    </row>
    <row r="12" spans="1:16" ht="12.75">
      <c r="A12" s="9"/>
      <c r="C12" s="33"/>
      <c r="D12" s="33"/>
      <c r="E12" s="26"/>
      <c r="F12" s="8">
        <v>0</v>
      </c>
      <c r="G12" s="12">
        <v>0</v>
      </c>
      <c r="H12" s="22">
        <f>I12/'BCIS Smmary'!$L$6</f>
        <v>0</v>
      </c>
      <c r="I12" s="187">
        <f t="shared" si="0"/>
        <v>0</v>
      </c>
      <c r="J12" s="226"/>
      <c r="K12" s="29"/>
      <c r="L12" s="29"/>
      <c r="M12" s="29"/>
      <c r="N12" s="29"/>
      <c r="P12" s="1"/>
    </row>
    <row r="13" spans="1:16" ht="12.75">
      <c r="A13" s="9"/>
      <c r="B13" s="33" t="s">
        <v>250</v>
      </c>
      <c r="C13" s="33"/>
      <c r="D13" s="33" t="s">
        <v>252</v>
      </c>
      <c r="E13" s="26" t="s">
        <v>165</v>
      </c>
      <c r="F13" s="8">
        <v>13</v>
      </c>
      <c r="G13" s="12">
        <v>11500</v>
      </c>
      <c r="H13" s="22">
        <f>I13/'BCIS Smmary'!$L$6</f>
        <v>65.87005754267234</v>
      </c>
      <c r="I13" s="187">
        <f t="shared" si="0"/>
        <v>149500</v>
      </c>
      <c r="J13" s="226"/>
      <c r="K13" s="29"/>
      <c r="L13" s="253">
        <f>SUM(L6:L12)</f>
        <v>32</v>
      </c>
      <c r="M13" s="253">
        <f>SUM(M6:M12)</f>
        <v>32</v>
      </c>
      <c r="N13" s="253">
        <f>SUM(N6:N12)</f>
        <v>31</v>
      </c>
      <c r="O13" s="253"/>
      <c r="P13" s="1"/>
    </row>
    <row r="14" spans="1:14" ht="12.75">
      <c r="A14" s="9"/>
      <c r="B14" s="33"/>
      <c r="C14" s="33"/>
      <c r="D14" s="54" t="s">
        <v>253</v>
      </c>
      <c r="E14" s="26" t="s">
        <v>165</v>
      </c>
      <c r="F14" s="8">
        <v>10</v>
      </c>
      <c r="G14" s="12">
        <v>12500</v>
      </c>
      <c r="H14" s="22">
        <f>I14/'BCIS Smmary'!$L$6</f>
        <v>55.0752989487227</v>
      </c>
      <c r="I14" s="187">
        <f aca="true" t="shared" si="1" ref="I14:I19">F14*G14</f>
        <v>125000</v>
      </c>
      <c r="J14" s="226"/>
      <c r="K14" s="29"/>
      <c r="L14" s="29"/>
      <c r="M14" s="29"/>
      <c r="N14" s="29"/>
    </row>
    <row r="15" spans="1:14" ht="12.75">
      <c r="A15" s="9"/>
      <c r="B15" s="33"/>
      <c r="C15" s="33"/>
      <c r="D15" s="54" t="s">
        <v>413</v>
      </c>
      <c r="E15" s="26" t="s">
        <v>165</v>
      </c>
      <c r="F15" s="8">
        <v>6</v>
      </c>
      <c r="G15" s="12">
        <v>13500</v>
      </c>
      <c r="H15" s="22">
        <f>I15/'BCIS Smmary'!$L$6</f>
        <v>35.68879371877231</v>
      </c>
      <c r="I15" s="187">
        <f t="shared" si="1"/>
        <v>81000</v>
      </c>
      <c r="J15" s="226"/>
      <c r="K15" s="29"/>
      <c r="L15" s="29"/>
      <c r="M15" s="29"/>
      <c r="N15" s="29"/>
    </row>
    <row r="16" spans="1:14" ht="12.75">
      <c r="A16" s="9"/>
      <c r="B16" s="33"/>
      <c r="C16" s="33"/>
      <c r="D16" s="54" t="s">
        <v>375</v>
      </c>
      <c r="E16" s="26" t="s">
        <v>165</v>
      </c>
      <c r="F16" s="8">
        <v>1</v>
      </c>
      <c r="G16" s="12">
        <v>3500</v>
      </c>
      <c r="H16" s="22">
        <f>I16/'BCIS Smmary'!$L$6</f>
        <v>1.5421083705642356</v>
      </c>
      <c r="I16" s="187">
        <f t="shared" si="1"/>
        <v>3500</v>
      </c>
      <c r="J16" s="226"/>
      <c r="K16" s="29"/>
      <c r="L16" s="29"/>
      <c r="M16" s="29"/>
      <c r="N16" s="29"/>
    </row>
    <row r="17" spans="1:14" ht="12.75">
      <c r="A17" s="9"/>
      <c r="B17" s="33"/>
      <c r="C17" s="33"/>
      <c r="D17" s="54"/>
      <c r="E17" s="26"/>
      <c r="F17" s="8">
        <v>0</v>
      </c>
      <c r="G17" s="12">
        <v>0</v>
      </c>
      <c r="H17" s="22">
        <f>I17/'BCIS Smmary'!$L$6</f>
        <v>0</v>
      </c>
      <c r="I17" s="187">
        <f t="shared" si="1"/>
        <v>0</v>
      </c>
      <c r="J17" s="226"/>
      <c r="K17" s="29"/>
      <c r="L17" s="29"/>
      <c r="M17" s="29"/>
      <c r="N17" s="29"/>
    </row>
    <row r="18" spans="1:14" ht="12.75">
      <c r="A18" s="9"/>
      <c r="B18" s="33"/>
      <c r="C18" s="33"/>
      <c r="D18" s="54"/>
      <c r="E18" s="26"/>
      <c r="F18" s="8">
        <v>0</v>
      </c>
      <c r="G18" s="12">
        <v>0</v>
      </c>
      <c r="H18" s="22">
        <f>I18/'BCIS Smmary'!$L$6</f>
        <v>0</v>
      </c>
      <c r="I18" s="187">
        <f t="shared" si="1"/>
        <v>0</v>
      </c>
      <c r="J18" s="226"/>
      <c r="K18" s="29"/>
      <c r="L18" s="29"/>
      <c r="M18" s="29"/>
      <c r="N18" s="29"/>
    </row>
    <row r="19" spans="1:14" ht="12.75">
      <c r="A19" s="9"/>
      <c r="B19" s="33"/>
      <c r="C19" s="33"/>
      <c r="D19" s="54"/>
      <c r="E19" s="26"/>
      <c r="F19" s="8">
        <v>0</v>
      </c>
      <c r="G19" s="12">
        <v>0</v>
      </c>
      <c r="H19" s="22">
        <f>I19/'BCIS Smmary'!$L$6</f>
        <v>0</v>
      </c>
      <c r="I19" s="187">
        <f t="shared" si="1"/>
        <v>0</v>
      </c>
      <c r="J19" s="226"/>
      <c r="K19" s="29"/>
      <c r="L19" s="29"/>
      <c r="M19" s="29"/>
      <c r="N19" s="29"/>
    </row>
    <row r="20" spans="1:14" ht="12.75">
      <c r="A20" s="9"/>
      <c r="B20" s="33" t="s">
        <v>260</v>
      </c>
      <c r="C20" s="33"/>
      <c r="D20" s="54"/>
      <c r="E20" s="26" t="s">
        <v>165</v>
      </c>
      <c r="F20" s="8">
        <v>61</v>
      </c>
      <c r="G20" s="12">
        <v>300</v>
      </c>
      <c r="H20" s="22">
        <f>I20/'BCIS Smmary'!$L$6</f>
        <v>8.063023766093004</v>
      </c>
      <c r="I20" s="187">
        <f t="shared" si="0"/>
        <v>18300</v>
      </c>
      <c r="J20" s="226"/>
      <c r="K20" s="29"/>
      <c r="L20" s="29"/>
      <c r="M20" s="29"/>
      <c r="N20" s="29"/>
    </row>
    <row r="21" spans="1:14" ht="12.75">
      <c r="A21" s="9"/>
      <c r="B21" s="33"/>
      <c r="C21" s="33"/>
      <c r="D21" s="33"/>
      <c r="E21" s="26"/>
      <c r="F21" s="8">
        <v>0</v>
      </c>
      <c r="G21" s="12">
        <v>0</v>
      </c>
      <c r="H21" s="22">
        <f>I21/'BCIS Smmary'!$L$6</f>
        <v>0</v>
      </c>
      <c r="I21" s="187">
        <f t="shared" si="0"/>
        <v>0</v>
      </c>
      <c r="J21" s="226"/>
      <c r="K21" s="29"/>
      <c r="L21" s="29"/>
      <c r="M21" s="29"/>
      <c r="N21" s="29"/>
    </row>
    <row r="22" spans="1:15" ht="12.75">
      <c r="A22" s="9"/>
      <c r="B22" s="33" t="s">
        <v>251</v>
      </c>
      <c r="C22" s="33"/>
      <c r="D22" s="54"/>
      <c r="E22" s="26" t="s">
        <v>165</v>
      </c>
      <c r="F22" s="8">
        <v>1</v>
      </c>
      <c r="G22" s="12">
        <v>45000</v>
      </c>
      <c r="H22" s="22">
        <f>I22/'BCIS Smmary'!$L$6</f>
        <v>19.827107621540172</v>
      </c>
      <c r="I22" s="187">
        <f>F22*G22</f>
        <v>45000</v>
      </c>
      <c r="J22" s="226"/>
      <c r="K22" s="29"/>
      <c r="L22" s="29"/>
      <c r="M22" s="29"/>
      <c r="N22" s="29"/>
      <c r="O22" s="29"/>
    </row>
    <row r="23" spans="1:15" ht="12.75">
      <c r="A23" s="9"/>
      <c r="B23" s="33"/>
      <c r="C23" s="33"/>
      <c r="D23" s="33"/>
      <c r="E23" s="26"/>
      <c r="F23" s="8">
        <v>0</v>
      </c>
      <c r="G23" s="12">
        <v>0</v>
      </c>
      <c r="H23" s="22">
        <f>I23/'BCIS Smmary'!$L$6</f>
        <v>0</v>
      </c>
      <c r="I23" s="187">
        <f>F23*G23</f>
        <v>0</v>
      </c>
      <c r="J23" s="226"/>
      <c r="K23" s="29"/>
      <c r="L23" s="29"/>
      <c r="M23" s="29"/>
      <c r="N23" s="30"/>
      <c r="O23" s="30"/>
    </row>
    <row r="24" spans="1:11" ht="12.75">
      <c r="A24" s="9"/>
      <c r="B24" s="33"/>
      <c r="C24" s="33"/>
      <c r="D24" s="33"/>
      <c r="E24" s="26"/>
      <c r="F24" s="8">
        <v>0</v>
      </c>
      <c r="G24" s="12">
        <v>0</v>
      </c>
      <c r="H24" s="22">
        <f>I24/'BCIS Smmary'!$L$6</f>
        <v>0</v>
      </c>
      <c r="I24" s="187">
        <f>F24*G24</f>
        <v>0</v>
      </c>
      <c r="J24" s="226"/>
      <c r="K24" s="1"/>
    </row>
    <row r="25" spans="1:13" ht="12.75">
      <c r="A25" s="9"/>
      <c r="B25" s="33" t="s">
        <v>374</v>
      </c>
      <c r="C25" s="33"/>
      <c r="D25" s="33"/>
      <c r="E25" s="26" t="s">
        <v>165</v>
      </c>
      <c r="F25" s="8">
        <v>12</v>
      </c>
      <c r="G25" s="12">
        <v>350</v>
      </c>
      <c r="H25" s="22">
        <f>I25/'BCIS Smmary'!$L$6</f>
        <v>1.8505300446770825</v>
      </c>
      <c r="I25" s="187">
        <f>F25*G25</f>
        <v>4200</v>
      </c>
      <c r="J25" s="226"/>
      <c r="K25" s="1"/>
      <c r="L25" s="1"/>
      <c r="M25" s="1"/>
    </row>
    <row r="26" spans="1:13" ht="12.75">
      <c r="A26" s="9"/>
      <c r="B26" s="33"/>
      <c r="C26" s="33"/>
      <c r="D26" s="33"/>
      <c r="E26" s="26"/>
      <c r="F26" s="8">
        <v>0</v>
      </c>
      <c r="G26" s="12">
        <v>0</v>
      </c>
      <c r="H26" s="22">
        <f>I26/'BCIS Smmary'!$L$6</f>
        <v>0</v>
      </c>
      <c r="I26" s="187">
        <f t="shared" si="0"/>
        <v>0</v>
      </c>
      <c r="J26" s="226"/>
      <c r="K26" s="1"/>
      <c r="L26" s="1"/>
      <c r="M26" s="1"/>
    </row>
    <row r="27" spans="1:13" ht="12.75">
      <c r="A27" s="9"/>
      <c r="B27" s="33" t="s">
        <v>254</v>
      </c>
      <c r="C27" s="33"/>
      <c r="D27" s="33"/>
      <c r="E27" s="26"/>
      <c r="F27" s="8">
        <v>0</v>
      </c>
      <c r="G27" s="12">
        <v>0</v>
      </c>
      <c r="H27" s="22">
        <f>I27/'BCIS Smmary'!$L$6</f>
        <v>0</v>
      </c>
      <c r="I27" s="187">
        <f t="shared" si="0"/>
        <v>0</v>
      </c>
      <c r="J27" s="226"/>
      <c r="K27" s="1"/>
      <c r="L27" s="1"/>
      <c r="M27" s="1"/>
    </row>
    <row r="28" spans="1:13" ht="12.75">
      <c r="A28" s="9"/>
      <c r="B28" s="33"/>
      <c r="C28" s="33" t="s">
        <v>430</v>
      </c>
      <c r="D28" s="33"/>
      <c r="E28" s="26" t="s">
        <v>165</v>
      </c>
      <c r="F28" s="8"/>
      <c r="G28" s="12">
        <v>0</v>
      </c>
      <c r="H28" s="22">
        <f>I28/'BCIS Smmary'!$L$6</f>
        <v>0</v>
      </c>
      <c r="I28" s="187">
        <f t="shared" si="0"/>
        <v>0</v>
      </c>
      <c r="J28" s="226"/>
      <c r="K28" s="1"/>
      <c r="L28" s="1"/>
      <c r="M28" s="1"/>
    </row>
    <row r="29" spans="1:13" ht="12.75">
      <c r="A29" s="9"/>
      <c r="B29" s="33"/>
      <c r="C29" s="33" t="s">
        <v>431</v>
      </c>
      <c r="D29" s="33"/>
      <c r="E29" s="26" t="s">
        <v>165</v>
      </c>
      <c r="F29" s="8"/>
      <c r="G29" s="12">
        <v>0</v>
      </c>
      <c r="H29" s="22">
        <f>I29/'BCIS Smmary'!$L$6</f>
        <v>0</v>
      </c>
      <c r="I29" s="187">
        <f t="shared" si="0"/>
        <v>0</v>
      </c>
      <c r="J29" s="226"/>
      <c r="K29" s="1"/>
      <c r="L29" s="1"/>
      <c r="M29" s="1"/>
    </row>
    <row r="30" spans="1:13" ht="12.75">
      <c r="A30" s="9"/>
      <c r="B30" s="33"/>
      <c r="C30" s="33"/>
      <c r="D30" s="54"/>
      <c r="E30" s="26"/>
      <c r="F30" s="8">
        <v>0</v>
      </c>
      <c r="G30" s="12">
        <v>0</v>
      </c>
      <c r="H30" s="22">
        <f>I30/'BCIS Smmary'!$L$6</f>
        <v>0</v>
      </c>
      <c r="I30" s="187">
        <f t="shared" si="0"/>
        <v>0</v>
      </c>
      <c r="J30" s="226"/>
      <c r="K30" s="1"/>
      <c r="L30" s="1"/>
      <c r="M30" s="1"/>
    </row>
    <row r="31" spans="1:13" ht="12.75">
      <c r="A31" s="9"/>
      <c r="B31" s="33" t="s">
        <v>261</v>
      </c>
      <c r="C31" s="33"/>
      <c r="D31" s="33"/>
      <c r="E31" s="26" t="s">
        <v>165</v>
      </c>
      <c r="F31" s="8">
        <v>29</v>
      </c>
      <c r="G31" s="12">
        <v>300</v>
      </c>
      <c r="H31" s="22">
        <f>I31/'BCIS Smmary'!$L$6</f>
        <v>3.8332408068310997</v>
      </c>
      <c r="I31" s="187">
        <f t="shared" si="0"/>
        <v>8700</v>
      </c>
      <c r="J31" s="226"/>
      <c r="K31" s="1"/>
      <c r="L31" s="1"/>
      <c r="M31" s="1"/>
    </row>
    <row r="32" spans="1:13" ht="12.75">
      <c r="A32" s="9"/>
      <c r="B32" s="33"/>
      <c r="C32" s="33"/>
      <c r="D32" s="33"/>
      <c r="E32" s="26"/>
      <c r="F32" s="8">
        <v>0</v>
      </c>
      <c r="G32" s="12">
        <v>0</v>
      </c>
      <c r="H32" s="22">
        <f>I32/'BCIS Smmary'!$L$6</f>
        <v>0</v>
      </c>
      <c r="I32" s="187">
        <f t="shared" si="0"/>
        <v>0</v>
      </c>
      <c r="J32" s="226"/>
      <c r="K32" s="1"/>
      <c r="L32" s="1"/>
      <c r="M32" s="1"/>
    </row>
    <row r="33" spans="1:13" ht="12.75">
      <c r="A33" s="9"/>
      <c r="B33" s="33" t="s">
        <v>262</v>
      </c>
      <c r="C33" s="33"/>
      <c r="D33" s="33"/>
      <c r="E33" s="26" t="s">
        <v>165</v>
      </c>
      <c r="F33" s="8">
        <v>29</v>
      </c>
      <c r="G33" s="12">
        <v>300</v>
      </c>
      <c r="H33" s="22">
        <f>I33/'BCIS Smmary'!$L$6</f>
        <v>3.8332408068310997</v>
      </c>
      <c r="I33" s="187">
        <f t="shared" si="0"/>
        <v>8700</v>
      </c>
      <c r="J33" s="226"/>
      <c r="K33" s="1"/>
      <c r="L33" s="1"/>
      <c r="M33" s="1"/>
    </row>
    <row r="34" spans="1:13" ht="12.75">
      <c r="A34" s="9"/>
      <c r="B34" s="7"/>
      <c r="C34" s="7" t="s">
        <v>263</v>
      </c>
      <c r="D34" s="33"/>
      <c r="E34" s="26" t="s">
        <v>165</v>
      </c>
      <c r="F34" s="8">
        <v>12</v>
      </c>
      <c r="G34" s="12">
        <v>100</v>
      </c>
      <c r="H34" s="22">
        <f>I34/'BCIS Smmary'!$L$6</f>
        <v>0.5287228699077379</v>
      </c>
      <c r="I34" s="187">
        <f t="shared" si="0"/>
        <v>1200</v>
      </c>
      <c r="J34" s="226"/>
      <c r="K34" s="1"/>
      <c r="L34" s="1"/>
      <c r="M34" s="1"/>
    </row>
    <row r="35" spans="1:13" ht="12.75">
      <c r="A35" s="9"/>
      <c r="B35" s="7"/>
      <c r="C35" s="7"/>
      <c r="D35" s="54"/>
      <c r="E35" s="26"/>
      <c r="F35" s="8">
        <v>0</v>
      </c>
      <c r="G35" s="12">
        <v>0</v>
      </c>
      <c r="H35" s="22">
        <f>I35/'BCIS Smmary'!$L$6</f>
        <v>0</v>
      </c>
      <c r="I35" s="187">
        <f t="shared" si="0"/>
        <v>0</v>
      </c>
      <c r="J35" s="226"/>
      <c r="K35" s="1"/>
      <c r="L35" s="1"/>
      <c r="M35" s="1"/>
    </row>
    <row r="36" spans="1:13" ht="12.75">
      <c r="A36" s="9"/>
      <c r="B36" s="7"/>
      <c r="C36" s="7"/>
      <c r="D36" s="33"/>
      <c r="E36" s="26"/>
      <c r="F36" s="8">
        <v>0</v>
      </c>
      <c r="G36" s="12">
        <v>0</v>
      </c>
      <c r="H36" s="22">
        <f>I36/'BCIS Smmary'!$L$6</f>
        <v>0</v>
      </c>
      <c r="I36" s="187">
        <f t="shared" si="0"/>
        <v>0</v>
      </c>
      <c r="J36" s="226"/>
      <c r="K36" s="1"/>
      <c r="L36" s="1"/>
      <c r="M36" s="1"/>
    </row>
    <row r="37" spans="1:13" ht="12.75">
      <c r="A37" s="9"/>
      <c r="B37" s="33"/>
      <c r="C37" s="33"/>
      <c r="D37" s="33"/>
      <c r="E37" s="26"/>
      <c r="F37" s="8">
        <v>0</v>
      </c>
      <c r="G37" s="12">
        <v>0</v>
      </c>
      <c r="H37" s="22">
        <f>I37/'BCIS Smmary'!$L$6</f>
        <v>0</v>
      </c>
      <c r="I37" s="187">
        <f t="shared" si="0"/>
        <v>0</v>
      </c>
      <c r="J37" s="226"/>
      <c r="K37" s="1"/>
      <c r="L37" s="1"/>
      <c r="M37" s="1"/>
    </row>
    <row r="38" spans="1:13" ht="12.75">
      <c r="A38" s="9"/>
      <c r="B38" s="33"/>
      <c r="C38" s="33"/>
      <c r="D38" s="33"/>
      <c r="E38" s="26"/>
      <c r="F38" s="8">
        <v>0</v>
      </c>
      <c r="G38" s="12">
        <v>0</v>
      </c>
      <c r="H38" s="22">
        <f>I38/'BCIS Smmary'!$L$6</f>
        <v>0</v>
      </c>
      <c r="I38" s="187">
        <f aca="true" t="shared" si="2" ref="I38:I43">F38*G38</f>
        <v>0</v>
      </c>
      <c r="J38" s="226"/>
      <c r="K38" s="1"/>
      <c r="L38" s="1"/>
      <c r="M38" s="1"/>
    </row>
    <row r="39" spans="1:13" ht="12.75">
      <c r="A39" s="9"/>
      <c r="B39" s="7"/>
      <c r="C39" s="7"/>
      <c r="D39" s="54"/>
      <c r="E39" s="26"/>
      <c r="F39" s="8">
        <v>0</v>
      </c>
      <c r="G39" s="12">
        <v>0</v>
      </c>
      <c r="H39" s="22">
        <f>I39/'BCIS Smmary'!$L$6</f>
        <v>0</v>
      </c>
      <c r="I39" s="187">
        <f t="shared" si="2"/>
        <v>0</v>
      </c>
      <c r="J39" s="226"/>
      <c r="K39" s="1"/>
      <c r="L39" s="1"/>
      <c r="M39" s="1"/>
    </row>
    <row r="40" spans="1:13" ht="12.75">
      <c r="A40" s="9"/>
      <c r="B40" s="7"/>
      <c r="C40" s="7"/>
      <c r="D40" s="54"/>
      <c r="E40" s="26"/>
      <c r="F40" s="8">
        <v>0</v>
      </c>
      <c r="G40" s="12">
        <v>0</v>
      </c>
      <c r="H40" s="22">
        <f>I40/'BCIS Smmary'!$L$6</f>
        <v>0</v>
      </c>
      <c r="I40" s="187">
        <f t="shared" si="2"/>
        <v>0</v>
      </c>
      <c r="J40" s="226"/>
      <c r="K40" s="1"/>
      <c r="L40" s="1"/>
      <c r="M40" s="1"/>
    </row>
    <row r="41" spans="1:13" ht="12.75">
      <c r="A41" s="9"/>
      <c r="B41" s="7"/>
      <c r="C41" s="7"/>
      <c r="D41" s="33"/>
      <c r="E41" s="26"/>
      <c r="F41" s="8">
        <v>0</v>
      </c>
      <c r="G41" s="12">
        <v>0</v>
      </c>
      <c r="H41" s="22">
        <f>I41/'BCIS Smmary'!$L$6</f>
        <v>0</v>
      </c>
      <c r="I41" s="187">
        <f t="shared" si="2"/>
        <v>0</v>
      </c>
      <c r="J41" s="226"/>
      <c r="K41" s="1"/>
      <c r="L41" s="1"/>
      <c r="M41" s="1"/>
    </row>
    <row r="42" spans="1:13" ht="12.75">
      <c r="A42" s="9"/>
      <c r="B42" s="7"/>
      <c r="C42" s="7"/>
      <c r="D42" s="7"/>
      <c r="E42" s="6"/>
      <c r="F42" s="8">
        <v>0</v>
      </c>
      <c r="G42" s="12">
        <v>0</v>
      </c>
      <c r="H42" s="22">
        <f>I42/'BCIS Smmary'!$L$6</f>
        <v>0</v>
      </c>
      <c r="I42" s="187">
        <f t="shared" si="2"/>
        <v>0</v>
      </c>
      <c r="J42" s="3"/>
      <c r="K42" s="1"/>
      <c r="L42" s="1"/>
      <c r="M42" s="1"/>
    </row>
    <row r="43" spans="1:13" ht="12.75">
      <c r="A43" s="9"/>
      <c r="B43" s="93"/>
      <c r="C43" s="7"/>
      <c r="D43" s="7"/>
      <c r="E43" s="6"/>
      <c r="F43" s="8">
        <v>0</v>
      </c>
      <c r="G43" s="12">
        <v>0</v>
      </c>
      <c r="H43" s="22">
        <f>I43/'BCIS Smmary'!$L$6</f>
        <v>0</v>
      </c>
      <c r="I43" s="187">
        <f t="shared" si="2"/>
        <v>0</v>
      </c>
      <c r="J43" s="3"/>
      <c r="K43" s="1"/>
      <c r="L43" s="1"/>
      <c r="M43" s="1"/>
    </row>
    <row r="44" spans="1:13" ht="12.75">
      <c r="A44" s="9"/>
      <c r="B44" s="93"/>
      <c r="C44" s="7"/>
      <c r="D44" s="7"/>
      <c r="E44" s="6"/>
      <c r="F44" s="8">
        <v>0</v>
      </c>
      <c r="G44" s="12">
        <v>0</v>
      </c>
      <c r="H44" s="22">
        <f>I44/'BCIS Smmary'!$L$6</f>
        <v>0</v>
      </c>
      <c r="I44" s="187">
        <f aca="true" t="shared" si="3" ref="I44:I57">F44*G44</f>
        <v>0</v>
      </c>
      <c r="J44" s="3"/>
      <c r="K44" s="1"/>
      <c r="L44" s="1"/>
      <c r="M44" s="1"/>
    </row>
    <row r="45" spans="1:13" ht="12.75">
      <c r="A45" s="9"/>
      <c r="C45" s="7"/>
      <c r="D45" s="7"/>
      <c r="E45" s="6"/>
      <c r="F45" s="8">
        <v>0</v>
      </c>
      <c r="G45" s="12">
        <v>0</v>
      </c>
      <c r="H45" s="22">
        <f>I45/'BCIS Smmary'!$L$6</f>
        <v>0</v>
      </c>
      <c r="I45" s="187">
        <f t="shared" si="3"/>
        <v>0</v>
      </c>
      <c r="J45" s="3"/>
      <c r="K45" s="217"/>
      <c r="L45" s="1"/>
      <c r="M45" s="1"/>
    </row>
    <row r="46" spans="1:13" ht="12.75">
      <c r="A46" s="9"/>
      <c r="B46" s="7"/>
      <c r="C46" s="7"/>
      <c r="D46" s="100"/>
      <c r="E46" s="6"/>
      <c r="F46" s="8">
        <v>0</v>
      </c>
      <c r="G46" s="12">
        <v>0</v>
      </c>
      <c r="H46" s="22">
        <f>I46/'BCIS Smmary'!$L$6</f>
        <v>0</v>
      </c>
      <c r="I46" s="187">
        <f t="shared" si="3"/>
        <v>0</v>
      </c>
      <c r="J46" s="3"/>
      <c r="K46" s="1"/>
      <c r="L46" s="1"/>
      <c r="M46" s="1"/>
    </row>
    <row r="47" spans="1:13" ht="12.75">
      <c r="A47" s="9"/>
      <c r="B47" s="7"/>
      <c r="C47" s="7"/>
      <c r="D47" s="100"/>
      <c r="E47" s="6"/>
      <c r="F47" s="8">
        <v>0</v>
      </c>
      <c r="G47" s="12">
        <v>0</v>
      </c>
      <c r="H47" s="22">
        <f>I47/'BCIS Smmary'!$L$6</f>
        <v>0</v>
      </c>
      <c r="I47" s="187">
        <f t="shared" si="3"/>
        <v>0</v>
      </c>
      <c r="J47" s="3"/>
      <c r="K47" s="1"/>
      <c r="L47" s="1"/>
      <c r="M47" s="1"/>
    </row>
    <row r="48" spans="1:13" ht="12.75">
      <c r="A48" s="9"/>
      <c r="B48" s="93"/>
      <c r="C48" s="7"/>
      <c r="D48" s="100"/>
      <c r="E48" s="6"/>
      <c r="F48" s="8">
        <v>0</v>
      </c>
      <c r="G48" s="12">
        <v>0</v>
      </c>
      <c r="H48" s="22">
        <f>I48/'BCIS Smmary'!$L$6</f>
        <v>0</v>
      </c>
      <c r="I48" s="187">
        <f t="shared" si="3"/>
        <v>0</v>
      </c>
      <c r="J48" s="3"/>
      <c r="K48" s="1"/>
      <c r="L48" s="1"/>
      <c r="M48" s="1"/>
    </row>
    <row r="49" spans="1:13" ht="12.75">
      <c r="A49" s="9"/>
      <c r="B49" s="191"/>
      <c r="D49" s="190"/>
      <c r="E49" s="192"/>
      <c r="F49" s="193">
        <v>0</v>
      </c>
      <c r="G49" s="194">
        <v>0</v>
      </c>
      <c r="H49" s="195">
        <f>I49/'BCIS Smmary'!$L$6</f>
        <v>0</v>
      </c>
      <c r="I49" s="238">
        <f>F49*G49</f>
        <v>0</v>
      </c>
      <c r="J49" s="3"/>
      <c r="K49" s="217"/>
      <c r="L49" s="1"/>
      <c r="M49" s="1"/>
    </row>
    <row r="50" spans="1:13" ht="12.75">
      <c r="A50" s="9"/>
      <c r="B50" s="7"/>
      <c r="C50" s="7"/>
      <c r="D50" s="7"/>
      <c r="E50" s="6"/>
      <c r="F50" s="8">
        <v>0</v>
      </c>
      <c r="G50" s="12">
        <v>0</v>
      </c>
      <c r="H50" s="22">
        <f>I50/'BCIS Smmary'!$L$6</f>
        <v>0</v>
      </c>
      <c r="I50" s="187">
        <f>F50*G50</f>
        <v>0</v>
      </c>
      <c r="J50" s="3"/>
      <c r="K50" s="1"/>
      <c r="L50" s="1"/>
      <c r="M50" s="1"/>
    </row>
    <row r="51" spans="1:13" ht="12.75">
      <c r="A51" s="9"/>
      <c r="B51" s="7"/>
      <c r="C51" s="7"/>
      <c r="D51" s="100"/>
      <c r="E51" s="6"/>
      <c r="F51" s="8">
        <v>0</v>
      </c>
      <c r="G51" s="12">
        <v>0</v>
      </c>
      <c r="H51" s="22">
        <f>I51/'BCIS Smmary'!$L$6</f>
        <v>0</v>
      </c>
      <c r="I51" s="187">
        <f>F51*G51</f>
        <v>0</v>
      </c>
      <c r="J51" s="3"/>
      <c r="K51" s="1"/>
      <c r="L51" s="1"/>
      <c r="M51" s="1"/>
    </row>
    <row r="52" spans="1:13" ht="12.75">
      <c r="A52" s="9"/>
      <c r="B52" s="93"/>
      <c r="C52" s="7"/>
      <c r="D52" s="100"/>
      <c r="E52" s="6"/>
      <c r="F52" s="8">
        <v>0</v>
      </c>
      <c r="G52" s="12">
        <v>0</v>
      </c>
      <c r="H52" s="22">
        <f>I52/'BCIS Smmary'!$L$6</f>
        <v>0</v>
      </c>
      <c r="I52" s="187">
        <f>F52*G52</f>
        <v>0</v>
      </c>
      <c r="J52" s="3"/>
      <c r="K52" s="217"/>
      <c r="L52" s="1"/>
      <c r="M52" s="1"/>
    </row>
    <row r="53" spans="1:13" ht="12.75">
      <c r="A53" s="9"/>
      <c r="B53" s="7"/>
      <c r="C53" s="7"/>
      <c r="D53" s="100"/>
      <c r="E53" s="6"/>
      <c r="F53" s="8">
        <v>0</v>
      </c>
      <c r="G53" s="12">
        <v>0</v>
      </c>
      <c r="H53" s="22">
        <f>I53/'BCIS Smmary'!$L$6</f>
        <v>0</v>
      </c>
      <c r="I53" s="187">
        <f>F53*G53</f>
        <v>0</v>
      </c>
      <c r="J53" s="3"/>
      <c r="K53" s="1"/>
      <c r="L53" s="1"/>
      <c r="M53" s="1"/>
    </row>
    <row r="54" spans="1:13" ht="12.75">
      <c r="A54" s="9"/>
      <c r="B54" s="93"/>
      <c r="C54" s="7"/>
      <c r="D54" s="7"/>
      <c r="E54" s="6"/>
      <c r="F54" s="8">
        <v>0</v>
      </c>
      <c r="G54" s="12">
        <v>0</v>
      </c>
      <c r="H54" s="22">
        <f>I54/'BCIS Smmary'!$L$6</f>
        <v>0</v>
      </c>
      <c r="I54" s="187">
        <f t="shared" si="3"/>
        <v>0</v>
      </c>
      <c r="J54" s="226"/>
      <c r="K54" s="1"/>
      <c r="L54" s="1"/>
      <c r="M54" s="1"/>
    </row>
    <row r="55" spans="1:13" ht="12.75">
      <c r="A55" s="9"/>
      <c r="B55" s="7"/>
      <c r="C55" s="7"/>
      <c r="D55" s="7"/>
      <c r="E55" s="6"/>
      <c r="F55" s="8">
        <v>0</v>
      </c>
      <c r="G55" s="12">
        <v>0</v>
      </c>
      <c r="H55" s="22">
        <f>I55/'BCIS Smmary'!$L$6</f>
        <v>0</v>
      </c>
      <c r="I55" s="187">
        <f t="shared" si="3"/>
        <v>0</v>
      </c>
      <c r="J55" s="3"/>
      <c r="K55" s="1"/>
      <c r="L55" s="1"/>
      <c r="M55" s="1"/>
    </row>
    <row r="56" spans="1:13" ht="12.75">
      <c r="A56" s="9"/>
      <c r="B56" s="7"/>
      <c r="C56" s="7"/>
      <c r="D56" s="7"/>
      <c r="E56" s="6"/>
      <c r="F56" s="8">
        <v>0</v>
      </c>
      <c r="G56" s="12">
        <v>0</v>
      </c>
      <c r="H56" s="22">
        <f>I56/'BCIS Smmary'!$L$6</f>
        <v>0</v>
      </c>
      <c r="I56" s="187">
        <f t="shared" si="3"/>
        <v>0</v>
      </c>
      <c r="J56" s="3"/>
      <c r="K56" s="1"/>
      <c r="L56" s="1"/>
      <c r="M56" s="1"/>
    </row>
    <row r="57" spans="5:13" ht="12.75">
      <c r="E57" s="3"/>
      <c r="F57" s="222">
        <v>0</v>
      </c>
      <c r="G57" s="223">
        <v>0</v>
      </c>
      <c r="H57" s="22">
        <f>I57/'BCIS Smmary'!$L$6</f>
        <v>0</v>
      </c>
      <c r="I57" s="224">
        <f t="shared" si="3"/>
        <v>0</v>
      </c>
      <c r="J57" s="3"/>
      <c r="K57" s="1"/>
      <c r="L57" s="1"/>
      <c r="M57" s="1"/>
    </row>
    <row r="58" spans="1:13" ht="12.75">
      <c r="A58" s="9"/>
      <c r="B58" s="7"/>
      <c r="C58" s="7"/>
      <c r="D58" s="7"/>
      <c r="E58" s="6"/>
      <c r="F58" s="8">
        <v>0</v>
      </c>
      <c r="G58" s="12">
        <v>0</v>
      </c>
      <c r="H58" s="22">
        <f>I58/'BCIS Smmary'!$L$6</f>
        <v>0</v>
      </c>
      <c r="I58" s="187">
        <f aca="true" t="shared" si="4" ref="I58:I67">F58*G58</f>
        <v>0</v>
      </c>
      <c r="J58" s="3"/>
      <c r="K58" s="1"/>
      <c r="L58" s="1"/>
      <c r="M58" s="1"/>
    </row>
    <row r="59" spans="1:13" ht="12.75">
      <c r="A59" s="9"/>
      <c r="B59" s="7"/>
      <c r="C59" s="7"/>
      <c r="D59" s="7"/>
      <c r="E59" s="6"/>
      <c r="F59" s="8">
        <v>0</v>
      </c>
      <c r="G59" s="12">
        <v>0</v>
      </c>
      <c r="H59" s="22">
        <f>I59/'BCIS Smmary'!$L$6</f>
        <v>0</v>
      </c>
      <c r="I59" s="187">
        <f t="shared" si="4"/>
        <v>0</v>
      </c>
      <c r="J59" s="3"/>
      <c r="K59" s="1"/>
      <c r="L59" s="1"/>
      <c r="M59" s="1"/>
    </row>
    <row r="60" spans="1:13" ht="12.75">
      <c r="A60" s="9"/>
      <c r="B60" s="93"/>
      <c r="C60" s="7"/>
      <c r="D60" s="7"/>
      <c r="E60" s="6"/>
      <c r="F60" s="8">
        <v>0</v>
      </c>
      <c r="G60" s="12">
        <v>0</v>
      </c>
      <c r="H60" s="22">
        <f>I60/'BCIS Smmary'!$L$6</f>
        <v>0</v>
      </c>
      <c r="I60" s="187">
        <f t="shared" si="4"/>
        <v>0</v>
      </c>
      <c r="J60" s="3"/>
      <c r="K60" s="1"/>
      <c r="L60" s="1"/>
      <c r="M60" s="1"/>
    </row>
    <row r="61" spans="1:13" ht="12.75">
      <c r="A61" s="9"/>
      <c r="B61" s="7"/>
      <c r="C61" s="7"/>
      <c r="D61" s="7"/>
      <c r="E61" s="6"/>
      <c r="F61" s="8">
        <v>0</v>
      </c>
      <c r="G61" s="12">
        <v>0</v>
      </c>
      <c r="H61" s="22">
        <f>I61/'BCIS Smmary'!$L$6</f>
        <v>0</v>
      </c>
      <c r="I61" s="187">
        <f t="shared" si="4"/>
        <v>0</v>
      </c>
      <c r="J61" s="3"/>
      <c r="K61" s="217"/>
      <c r="L61" s="1"/>
      <c r="M61" s="1"/>
    </row>
    <row r="62" spans="1:13" ht="12.75">
      <c r="A62" s="9"/>
      <c r="B62" s="7"/>
      <c r="C62" s="7"/>
      <c r="D62" s="7"/>
      <c r="E62" s="6"/>
      <c r="F62" s="8">
        <v>0</v>
      </c>
      <c r="G62" s="12">
        <v>0</v>
      </c>
      <c r="H62" s="22">
        <f>I62/'BCIS Smmary'!$L$6</f>
        <v>0</v>
      </c>
      <c r="I62" s="187">
        <f t="shared" si="4"/>
        <v>0</v>
      </c>
      <c r="J62" s="226"/>
      <c r="K62" s="1"/>
      <c r="L62" s="1"/>
      <c r="M62" s="1"/>
    </row>
    <row r="63" spans="1:13" ht="12.75">
      <c r="A63" s="9"/>
      <c r="B63" s="7"/>
      <c r="C63" s="7"/>
      <c r="D63" s="7"/>
      <c r="E63" s="6"/>
      <c r="F63" s="8">
        <v>0</v>
      </c>
      <c r="G63" s="12">
        <v>0</v>
      </c>
      <c r="H63" s="22">
        <f>I63/'BCIS Smmary'!$L$6</f>
        <v>0</v>
      </c>
      <c r="I63" s="187">
        <f t="shared" si="4"/>
        <v>0</v>
      </c>
      <c r="J63" s="226"/>
      <c r="K63" s="1"/>
      <c r="L63" s="1"/>
      <c r="M63" s="1"/>
    </row>
    <row r="64" spans="1:13" ht="12.75">
      <c r="A64" s="9"/>
      <c r="B64" s="7"/>
      <c r="C64" s="7"/>
      <c r="D64" s="7"/>
      <c r="E64" s="6"/>
      <c r="F64" s="8">
        <v>0</v>
      </c>
      <c r="G64" s="12">
        <v>0</v>
      </c>
      <c r="H64" s="22">
        <f>I64/'BCIS Smmary'!$L$6</f>
        <v>0</v>
      </c>
      <c r="I64" s="187">
        <f t="shared" si="4"/>
        <v>0</v>
      </c>
      <c r="J64" s="226"/>
      <c r="K64" s="1"/>
      <c r="L64" s="1"/>
      <c r="M64" s="1"/>
    </row>
    <row r="65" spans="1:13" ht="12.75">
      <c r="A65" s="9"/>
      <c r="B65" s="7"/>
      <c r="C65" s="7"/>
      <c r="D65" s="7"/>
      <c r="E65" s="6"/>
      <c r="F65" s="8">
        <v>0</v>
      </c>
      <c r="G65" s="12">
        <v>0</v>
      </c>
      <c r="H65" s="22">
        <f>I65/'BCIS Smmary'!$L$6</f>
        <v>0</v>
      </c>
      <c r="I65" s="187">
        <f t="shared" si="4"/>
        <v>0</v>
      </c>
      <c r="J65" s="3"/>
      <c r="K65" s="1"/>
      <c r="L65" s="1"/>
      <c r="M65" s="1"/>
    </row>
    <row r="66" spans="1:13" ht="12.75">
      <c r="A66" s="9"/>
      <c r="B66" s="7"/>
      <c r="C66" s="7"/>
      <c r="D66" s="7"/>
      <c r="E66" s="6"/>
      <c r="F66" s="8">
        <v>0</v>
      </c>
      <c r="G66" s="12">
        <v>0</v>
      </c>
      <c r="H66" s="22">
        <f>I66/'BCIS Smmary'!$L$6</f>
        <v>0</v>
      </c>
      <c r="I66" s="187">
        <f t="shared" si="4"/>
        <v>0</v>
      </c>
      <c r="J66" s="3"/>
      <c r="K66" s="1"/>
      <c r="L66" s="1"/>
      <c r="M66" s="1"/>
    </row>
    <row r="67" spans="1:13" ht="12.75">
      <c r="A67" s="9"/>
      <c r="B67" s="7"/>
      <c r="C67" s="7"/>
      <c r="D67" s="7"/>
      <c r="E67" s="6"/>
      <c r="F67" s="8">
        <v>0</v>
      </c>
      <c r="G67" s="12">
        <v>0</v>
      </c>
      <c r="H67" s="22">
        <f>I67/'BCIS Smmary'!$L$6</f>
        <v>0</v>
      </c>
      <c r="I67" s="187">
        <f t="shared" si="4"/>
        <v>0</v>
      </c>
      <c r="J67" s="3"/>
      <c r="K67" s="1"/>
      <c r="L67" s="1"/>
      <c r="M67" s="1"/>
    </row>
    <row r="68" spans="1:13" ht="12.75">
      <c r="A68" s="26" t="s">
        <v>12</v>
      </c>
      <c r="B68" s="7"/>
      <c r="C68" s="7"/>
      <c r="D68" s="7"/>
      <c r="E68" s="6"/>
      <c r="F68" s="8">
        <v>0</v>
      </c>
      <c r="G68" s="12">
        <v>0</v>
      </c>
      <c r="H68" s="22">
        <f>I68/'BCIS Smmary'!$L$6</f>
        <v>208.60320229818208</v>
      </c>
      <c r="I68" s="239">
        <f>SUM(I5:I67)</f>
        <v>473450</v>
      </c>
      <c r="J68" s="3"/>
      <c r="K68" s="1"/>
      <c r="L68" s="1"/>
      <c r="M68" s="1"/>
    </row>
    <row r="69" spans="1:13" ht="12.75">
      <c r="A69" s="26"/>
      <c r="B69" s="7"/>
      <c r="C69" s="7"/>
      <c r="D69" s="7"/>
      <c r="E69" s="6"/>
      <c r="F69" s="8">
        <v>0</v>
      </c>
      <c r="G69" s="12">
        <v>0</v>
      </c>
      <c r="H69" s="22">
        <f>I69/'BCIS Smmary'!$L$6</f>
        <v>0</v>
      </c>
      <c r="I69" s="187"/>
      <c r="J69" s="3"/>
      <c r="K69" s="1"/>
      <c r="L69" s="1"/>
      <c r="M69" s="1"/>
    </row>
    <row r="70" spans="1:13" ht="12.75">
      <c r="A70" s="26" t="s">
        <v>13</v>
      </c>
      <c r="B70" s="7"/>
      <c r="C70" s="7"/>
      <c r="D70" s="11">
        <v>0.05</v>
      </c>
      <c r="E70" s="6"/>
      <c r="F70" s="8">
        <v>0</v>
      </c>
      <c r="G70" s="12">
        <v>0</v>
      </c>
      <c r="H70" s="22">
        <f>I70/'BCIS Smmary'!$L$6</f>
        <v>13.297820780571197</v>
      </c>
      <c r="I70" s="187">
        <v>30181</v>
      </c>
      <c r="J70" s="3"/>
      <c r="K70" s="1"/>
      <c r="L70" s="1"/>
      <c r="M70" s="1"/>
    </row>
    <row r="71" spans="1:13" ht="12.75">
      <c r="A71" s="6"/>
      <c r="B71" s="7"/>
      <c r="C71" s="7"/>
      <c r="D71" s="7"/>
      <c r="E71" s="6"/>
      <c r="F71" s="8">
        <v>0</v>
      </c>
      <c r="G71" s="12">
        <v>0</v>
      </c>
      <c r="H71" s="22">
        <f>I71/'BCIS Smmary'!$L$6</f>
        <v>0</v>
      </c>
      <c r="I71" s="25"/>
      <c r="J71" s="3"/>
      <c r="K71" s="1"/>
      <c r="L71" s="1"/>
      <c r="M71" s="1"/>
    </row>
    <row r="72" spans="1:13" ht="12.75">
      <c r="A72" s="18" t="s">
        <v>14</v>
      </c>
      <c r="B72" s="13"/>
      <c r="C72" s="13"/>
      <c r="D72" s="13"/>
      <c r="E72" s="18"/>
      <c r="F72" s="25">
        <v>0</v>
      </c>
      <c r="G72" s="24">
        <v>0</v>
      </c>
      <c r="H72" s="177">
        <f>I72/'BCIS Smmary'!$L$6</f>
        <v>221.90102307875327</v>
      </c>
      <c r="I72" s="220">
        <f>SUM(I68:I71)</f>
        <v>503631</v>
      </c>
      <c r="J72" s="3"/>
      <c r="K72" s="1"/>
      <c r="L72" s="217"/>
      <c r="M72" s="217"/>
    </row>
    <row r="73" spans="7:13" ht="12.75">
      <c r="G73" s="223"/>
      <c r="J73" s="3"/>
      <c r="K73" s="1"/>
      <c r="L73" s="217"/>
      <c r="M73" s="217"/>
    </row>
    <row r="74" spans="10:13" ht="12.75">
      <c r="J74" s="3"/>
      <c r="K74" s="1"/>
      <c r="L74" s="217"/>
      <c r="M74" s="217"/>
    </row>
    <row r="75" spans="10:13" ht="12.75">
      <c r="J75" s="3"/>
      <c r="K75" s="1"/>
      <c r="L75" s="1"/>
      <c r="M75" s="1"/>
    </row>
  </sheetData>
  <printOptions/>
  <pageMargins left="0.75" right="0.75" top="1" bottom="1" header="0.5" footer="0.5"/>
  <pageSetup fitToHeight="1" fitToWidth="1" horizontalDpi="300" verticalDpi="300" orientation="portrait" paperSize="9" scale="63" r:id="rId1"/>
  <headerFooter alignWithMargins="0">
    <oddFooter>&amp;L&amp;D  &amp;T&amp;C17&amp;R&amp;F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1"/>
  <dimension ref="A1:N50"/>
  <sheetViews>
    <sheetView workbookViewId="0" topLeftCell="A1">
      <selection activeCell="B6" sqref="B6:I37"/>
    </sheetView>
  </sheetViews>
  <sheetFormatPr defaultColWidth="9.140625" defaultRowHeight="12.75"/>
  <cols>
    <col min="1" max="1" width="3.140625" style="37" customWidth="1"/>
    <col min="4" max="4" width="13.8515625" style="0" customWidth="1"/>
    <col min="5" max="5" width="5.7109375" style="0" customWidth="1"/>
    <col min="6" max="6" width="9.28125" style="0" bestFit="1" customWidth="1"/>
    <col min="7" max="7" width="12.28125" style="0" bestFit="1" customWidth="1"/>
    <col min="8" max="8" width="9.28125" style="0" bestFit="1" customWidth="1"/>
    <col min="9" max="9" width="13.140625" style="0" customWidth="1"/>
    <col min="10" max="10" width="12.28125" style="0" customWidth="1"/>
  </cols>
  <sheetData>
    <row r="1" spans="1:9" ht="12.75">
      <c r="A1" s="84" t="s">
        <v>10</v>
      </c>
      <c r="B1" s="85"/>
      <c r="C1" s="85"/>
      <c r="D1" s="86" t="s">
        <v>35</v>
      </c>
      <c r="E1" s="85"/>
      <c r="F1" s="85"/>
      <c r="G1" s="85"/>
      <c r="H1" s="85"/>
      <c r="I1" s="87"/>
    </row>
    <row r="2" spans="1:9" ht="12.75">
      <c r="A2" s="28" t="s">
        <v>11</v>
      </c>
      <c r="B2" s="7"/>
      <c r="C2" s="7"/>
      <c r="D2" s="7"/>
      <c r="E2" s="14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9" t="s">
        <v>27</v>
      </c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4" ht="12.75">
      <c r="A4" s="71" t="s">
        <v>28</v>
      </c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</row>
    <row r="5" spans="1:14" ht="12.75">
      <c r="A5" s="9"/>
      <c r="B5" s="7"/>
      <c r="C5" s="7"/>
      <c r="D5" s="7"/>
      <c r="E5" s="6"/>
      <c r="F5" s="8"/>
      <c r="G5" s="12"/>
      <c r="H5" s="22"/>
      <c r="I5" s="240"/>
      <c r="J5" s="7" t="s">
        <v>376</v>
      </c>
      <c r="K5" s="1"/>
      <c r="L5" s="1" t="s">
        <v>201</v>
      </c>
      <c r="M5" s="1"/>
      <c r="N5" s="1"/>
    </row>
    <row r="6" spans="1:14" ht="12.75">
      <c r="A6" s="9"/>
      <c r="B6" s="7" t="s">
        <v>376</v>
      </c>
      <c r="C6" s="7"/>
      <c r="D6" s="7"/>
      <c r="E6" s="6" t="s">
        <v>36</v>
      </c>
      <c r="F6" s="38">
        <f>K13</f>
        <v>96.25999999999999</v>
      </c>
      <c r="G6" s="39">
        <v>40</v>
      </c>
      <c r="H6" s="22">
        <f>I6/'BCIS Smmary'!$L$6</f>
        <v>1.6964954485772947</v>
      </c>
      <c r="I6" s="237">
        <f>F6*G6</f>
        <v>3850.3999999999996</v>
      </c>
      <c r="J6" s="3"/>
      <c r="K6" s="1">
        <v>3.55</v>
      </c>
      <c r="L6" s="217"/>
      <c r="M6" s="1">
        <v>164.01</v>
      </c>
      <c r="N6" s="1"/>
    </row>
    <row r="7" spans="1:14" ht="12.75">
      <c r="A7" s="9"/>
      <c r="B7" s="7"/>
      <c r="C7" s="7"/>
      <c r="D7" s="7"/>
      <c r="E7" s="6"/>
      <c r="F7" s="38">
        <v>0</v>
      </c>
      <c r="G7" s="39">
        <v>0</v>
      </c>
      <c r="H7" s="22">
        <f>I7/'BCIS Smmary'!$L$6</f>
        <v>0</v>
      </c>
      <c r="I7" s="237">
        <f>F7*G7</f>
        <v>0</v>
      </c>
      <c r="J7" s="3"/>
      <c r="K7" s="1">
        <v>3.47</v>
      </c>
      <c r="L7" s="217"/>
      <c r="M7" s="1">
        <v>0</v>
      </c>
      <c r="N7" s="1"/>
    </row>
    <row r="8" spans="1:14" ht="12.75">
      <c r="A8" s="9"/>
      <c r="B8" s="7" t="s">
        <v>201</v>
      </c>
      <c r="C8" s="7"/>
      <c r="D8" s="7"/>
      <c r="E8" s="6" t="s">
        <v>36</v>
      </c>
      <c r="F8" s="38">
        <f>M13</f>
        <v>164.01</v>
      </c>
      <c r="G8" s="39">
        <v>30</v>
      </c>
      <c r="H8" s="22">
        <f>I8/'BCIS Smmary'!$L$6</f>
        <v>2.167895947339202</v>
      </c>
      <c r="I8" s="237">
        <f>F8*G8</f>
        <v>4920.299999999999</v>
      </c>
      <c r="J8" s="3"/>
      <c r="K8" s="1">
        <v>3.48</v>
      </c>
      <c r="L8" s="217"/>
      <c r="M8" s="1">
        <v>0</v>
      </c>
      <c r="N8" s="1"/>
    </row>
    <row r="9" spans="1:14" ht="12.75">
      <c r="A9" s="9"/>
      <c r="B9" s="33"/>
      <c r="C9" s="33"/>
      <c r="D9" s="33"/>
      <c r="E9" s="6"/>
      <c r="F9" s="38">
        <v>0</v>
      </c>
      <c r="G9" s="39">
        <v>0</v>
      </c>
      <c r="H9" s="22">
        <f>I9/'BCIS Smmary'!$L$6</f>
        <v>0</v>
      </c>
      <c r="I9" s="237">
        <f>F9*G9</f>
        <v>0</v>
      </c>
      <c r="J9" s="3"/>
      <c r="K9" s="29">
        <v>3.45</v>
      </c>
      <c r="L9" s="217"/>
      <c r="M9" s="1"/>
      <c r="N9" s="1"/>
    </row>
    <row r="10" spans="2:14" ht="12.75">
      <c r="B10" t="s">
        <v>377</v>
      </c>
      <c r="E10" s="6" t="s">
        <v>165</v>
      </c>
      <c r="F10" s="38">
        <v>3</v>
      </c>
      <c r="G10" s="39">
        <v>1000</v>
      </c>
      <c r="H10" s="22">
        <f>I10/'BCIS Smmary'!$L$6</f>
        <v>1.3218071747693447</v>
      </c>
      <c r="I10" s="237">
        <f aca="true" t="shared" si="0" ref="I10:I24">F10*G10</f>
        <v>3000</v>
      </c>
      <c r="J10" s="3"/>
      <c r="K10" s="29">
        <v>16.62</v>
      </c>
      <c r="L10" s="187"/>
      <c r="M10" s="1"/>
      <c r="N10" s="1"/>
    </row>
    <row r="11" spans="5:14" ht="12.75">
      <c r="E11" s="6"/>
      <c r="F11" s="38">
        <v>0</v>
      </c>
      <c r="G11" s="39">
        <v>0</v>
      </c>
      <c r="H11" s="22">
        <f>I11/'BCIS Smmary'!$L$6</f>
        <v>0</v>
      </c>
      <c r="I11" s="237">
        <f t="shared" si="0"/>
        <v>0</v>
      </c>
      <c r="J11" s="3"/>
      <c r="K11" s="29">
        <v>33.04</v>
      </c>
      <c r="L11" s="187"/>
      <c r="M11" s="1"/>
      <c r="N11" s="1"/>
    </row>
    <row r="12" spans="2:14" ht="12.75">
      <c r="B12" t="s">
        <v>378</v>
      </c>
      <c r="E12" s="6" t="s">
        <v>155</v>
      </c>
      <c r="F12" s="38">
        <f>1.5*2*3</f>
        <v>9</v>
      </c>
      <c r="G12" s="39">
        <v>350</v>
      </c>
      <c r="H12" s="22">
        <f>I12/'BCIS Smmary'!$L$6</f>
        <v>1.3878975335078119</v>
      </c>
      <c r="I12" s="237">
        <f t="shared" si="0"/>
        <v>3150</v>
      </c>
      <c r="J12" s="3"/>
      <c r="K12" s="29">
        <v>32.65</v>
      </c>
      <c r="L12" s="187"/>
      <c r="M12" s="1"/>
      <c r="N12" s="1"/>
    </row>
    <row r="13" spans="5:14" ht="13.5" thickBot="1">
      <c r="E13" s="6"/>
      <c r="F13" s="38">
        <v>0</v>
      </c>
      <c r="G13" s="39">
        <v>0</v>
      </c>
      <c r="H13" s="22">
        <f>I13/'BCIS Smmary'!$L$6</f>
        <v>0</v>
      </c>
      <c r="I13" s="237">
        <f t="shared" si="0"/>
        <v>0</v>
      </c>
      <c r="J13" s="3" t="s">
        <v>136</v>
      </c>
      <c r="K13" s="243">
        <f>SUM(K6:K12)</f>
        <v>96.25999999999999</v>
      </c>
      <c r="L13" s="187" t="s">
        <v>136</v>
      </c>
      <c r="M13" s="243">
        <f>SUM(M6:M12)</f>
        <v>164.01</v>
      </c>
      <c r="N13" s="1"/>
    </row>
    <row r="14" spans="2:14" ht="13.5" thickTop="1">
      <c r="B14" t="s">
        <v>379</v>
      </c>
      <c r="E14" s="6" t="s">
        <v>155</v>
      </c>
      <c r="F14" s="38">
        <v>50.82</v>
      </c>
      <c r="G14" s="39">
        <v>175</v>
      </c>
      <c r="H14" s="22">
        <f>I14/'BCIS Smmary'!$L$6</f>
        <v>3.918497369603722</v>
      </c>
      <c r="I14" s="237">
        <f t="shared" si="0"/>
        <v>8893.5</v>
      </c>
      <c r="J14" s="3"/>
      <c r="K14" s="1"/>
      <c r="L14" s="187"/>
      <c r="M14" s="1"/>
      <c r="N14" s="1"/>
    </row>
    <row r="15" spans="5:14" ht="12.75">
      <c r="E15" s="6"/>
      <c r="F15" s="38">
        <v>0</v>
      </c>
      <c r="G15" s="39">
        <v>0</v>
      </c>
      <c r="H15" s="22">
        <f>I15/'BCIS Smmary'!$L$6</f>
        <v>0</v>
      </c>
      <c r="I15" s="237">
        <f t="shared" si="0"/>
        <v>0</v>
      </c>
      <c r="J15" s="226"/>
      <c r="K15" s="1"/>
      <c r="L15" s="187"/>
      <c r="M15" s="1"/>
      <c r="N15" s="1"/>
    </row>
    <row r="16" spans="2:14" ht="12.75">
      <c r="B16" t="s">
        <v>380</v>
      </c>
      <c r="E16" s="6" t="s">
        <v>155</v>
      </c>
      <c r="F16" s="38">
        <v>49.52</v>
      </c>
      <c r="G16" s="39">
        <v>175</v>
      </c>
      <c r="H16" s="22">
        <f>I16/'BCIS Smmary'!$L$6</f>
        <v>3.818260325517047</v>
      </c>
      <c r="I16" s="237">
        <f t="shared" si="0"/>
        <v>8666</v>
      </c>
      <c r="J16" s="3"/>
      <c r="K16" s="1"/>
      <c r="L16" s="187"/>
      <c r="M16" s="1"/>
      <c r="N16" s="1"/>
    </row>
    <row r="17" spans="5:14" ht="12.75">
      <c r="E17" s="6"/>
      <c r="F17" s="38">
        <v>0</v>
      </c>
      <c r="G17" s="39">
        <v>0</v>
      </c>
      <c r="H17" s="22">
        <f>I17/'BCIS Smmary'!$L$6</f>
        <v>0</v>
      </c>
      <c r="I17" s="237">
        <f t="shared" si="0"/>
        <v>0</v>
      </c>
      <c r="J17" s="3"/>
      <c r="K17" s="1"/>
      <c r="L17" s="187"/>
      <c r="M17" s="1"/>
      <c r="N17" s="1"/>
    </row>
    <row r="18" spans="2:14" ht="12.75">
      <c r="B18" t="s">
        <v>381</v>
      </c>
      <c r="E18" s="6" t="s">
        <v>165</v>
      </c>
      <c r="F18" s="38">
        <v>9</v>
      </c>
      <c r="G18" s="39">
        <v>750</v>
      </c>
      <c r="H18" s="22">
        <f>I18/'BCIS Smmary'!$L$6</f>
        <v>2.974066143231026</v>
      </c>
      <c r="I18" s="237">
        <f t="shared" si="0"/>
        <v>6750</v>
      </c>
      <c r="J18" s="3"/>
      <c r="K18" s="1"/>
      <c r="L18" s="217"/>
      <c r="M18" s="1"/>
      <c r="N18" s="1"/>
    </row>
    <row r="19" spans="5:14" ht="12.75">
      <c r="E19" s="6"/>
      <c r="F19" s="38">
        <v>0</v>
      </c>
      <c r="G19" s="39">
        <v>0</v>
      </c>
      <c r="H19" s="22">
        <f>I19/'BCIS Smmary'!$L$6</f>
        <v>0</v>
      </c>
      <c r="I19" s="237">
        <f t="shared" si="0"/>
        <v>0</v>
      </c>
      <c r="J19" s="226"/>
      <c r="K19" s="1"/>
      <c r="L19" s="1"/>
      <c r="M19" s="1"/>
      <c r="N19" s="1"/>
    </row>
    <row r="20" spans="5:14" ht="12.75">
      <c r="E20" s="6"/>
      <c r="F20" s="38">
        <v>0</v>
      </c>
      <c r="G20" s="39">
        <v>0</v>
      </c>
      <c r="H20" s="22">
        <f>I20/'BCIS Smmary'!$L$6</f>
        <v>0</v>
      </c>
      <c r="I20" s="237">
        <f t="shared" si="0"/>
        <v>0</v>
      </c>
      <c r="J20" s="226"/>
      <c r="K20" s="1"/>
      <c r="L20" s="1"/>
      <c r="M20" s="1"/>
      <c r="N20" s="1"/>
    </row>
    <row r="21" spans="2:14" ht="12.75">
      <c r="B21" t="s">
        <v>382</v>
      </c>
      <c r="E21" s="6" t="s">
        <v>155</v>
      </c>
      <c r="F21" s="38">
        <v>59.88</v>
      </c>
      <c r="G21" s="39">
        <v>50</v>
      </c>
      <c r="H21" s="22">
        <f>I21/'BCIS Smmary'!$L$6</f>
        <v>1.319163560419806</v>
      </c>
      <c r="I21" s="237">
        <f t="shared" si="0"/>
        <v>2994</v>
      </c>
      <c r="J21" s="3"/>
      <c r="K21" s="1"/>
      <c r="L21" s="1"/>
      <c r="M21" s="1"/>
      <c r="N21" s="1"/>
    </row>
    <row r="22" spans="5:14" ht="12.75">
      <c r="E22" s="6"/>
      <c r="F22" s="38">
        <v>0</v>
      </c>
      <c r="G22" s="39">
        <v>0</v>
      </c>
      <c r="H22" s="22">
        <f>I22/'BCIS Smmary'!$L$6</f>
        <v>0</v>
      </c>
      <c r="I22" s="237">
        <f t="shared" si="0"/>
        <v>0</v>
      </c>
      <c r="J22" s="3"/>
      <c r="K22" s="1"/>
      <c r="L22" s="217"/>
      <c r="M22" s="1"/>
      <c r="N22" s="1"/>
    </row>
    <row r="23" spans="2:14" ht="12.75">
      <c r="B23" t="s">
        <v>383</v>
      </c>
      <c r="E23" s="6" t="s">
        <v>165</v>
      </c>
      <c r="F23" s="38">
        <v>2</v>
      </c>
      <c r="G23" s="39">
        <v>500</v>
      </c>
      <c r="H23" s="22">
        <f>I23/'BCIS Smmary'!$L$6</f>
        <v>0.4406023915897816</v>
      </c>
      <c r="I23" s="237">
        <f t="shared" si="0"/>
        <v>1000</v>
      </c>
      <c r="J23" s="3"/>
      <c r="K23" s="1"/>
      <c r="L23" s="1"/>
      <c r="M23" s="1"/>
      <c r="N23" s="1"/>
    </row>
    <row r="24" spans="5:14" ht="12.75">
      <c r="E24" s="6"/>
      <c r="F24" s="38">
        <v>0</v>
      </c>
      <c r="G24" s="39">
        <v>0</v>
      </c>
      <c r="H24" s="22">
        <f>I24/'BCIS Smmary'!$L$6</f>
        <v>0</v>
      </c>
      <c r="I24" s="237">
        <f t="shared" si="0"/>
        <v>0</v>
      </c>
      <c r="J24" s="3"/>
      <c r="K24" s="1"/>
      <c r="L24" s="217"/>
      <c r="M24" s="1"/>
      <c r="N24" s="1"/>
    </row>
    <row r="25" spans="1:14" ht="12.75">
      <c r="A25" s="9"/>
      <c r="B25" s="33" t="s">
        <v>202</v>
      </c>
      <c r="C25" s="33"/>
      <c r="D25" s="33"/>
      <c r="E25" s="6" t="s">
        <v>36</v>
      </c>
      <c r="F25" s="38">
        <f>L33</f>
        <v>232.68999999999994</v>
      </c>
      <c r="G25" s="39">
        <v>15</v>
      </c>
      <c r="H25" s="22">
        <f>I25/'BCIS Smmary'!$L$6</f>
        <v>1.5378565574853937</v>
      </c>
      <c r="I25" s="237">
        <f>F25*G25</f>
        <v>3490.349999999999</v>
      </c>
      <c r="J25" s="33" t="s">
        <v>202</v>
      </c>
      <c r="K25" s="1"/>
      <c r="L25" s="1"/>
      <c r="M25" s="1"/>
      <c r="N25" s="1"/>
    </row>
    <row r="26" spans="1:14" ht="12.75">
      <c r="A26" s="9"/>
      <c r="B26" s="33"/>
      <c r="C26" s="33" t="s">
        <v>389</v>
      </c>
      <c r="D26" s="33"/>
      <c r="E26" s="26" t="s">
        <v>163</v>
      </c>
      <c r="F26" s="38">
        <v>1</v>
      </c>
      <c r="G26" s="39">
        <v>2500</v>
      </c>
      <c r="H26" s="22">
        <f>I26/'BCIS Smmary'!$L$6</f>
        <v>1.101505978974454</v>
      </c>
      <c r="I26" s="237">
        <f>F26*G26</f>
        <v>2500</v>
      </c>
      <c r="J26" s="3"/>
      <c r="K26" s="1" t="s">
        <v>384</v>
      </c>
      <c r="L26" s="217">
        <v>1044.05</v>
      </c>
      <c r="M26" s="1"/>
      <c r="N26" s="1"/>
    </row>
    <row r="27" spans="1:14" ht="12.75">
      <c r="A27" s="9"/>
      <c r="B27" s="33"/>
      <c r="C27" s="33"/>
      <c r="D27" s="33"/>
      <c r="E27" s="26"/>
      <c r="F27" s="38">
        <v>0</v>
      </c>
      <c r="G27" s="39">
        <v>0</v>
      </c>
      <c r="H27" s="22">
        <f>I27/'BCIS Smmary'!$L$6</f>
        <v>0</v>
      </c>
      <c r="I27" s="237">
        <f>F27*G27</f>
        <v>0</v>
      </c>
      <c r="J27" s="3" t="s">
        <v>385</v>
      </c>
      <c r="K27" s="1"/>
      <c r="L27" s="1"/>
      <c r="M27" s="1"/>
      <c r="N27" s="1"/>
    </row>
    <row r="28" spans="1:14" ht="12.75">
      <c r="A28" s="9"/>
      <c r="B28" s="33" t="s">
        <v>388</v>
      </c>
      <c r="C28" s="33"/>
      <c r="D28" s="33"/>
      <c r="E28" s="26" t="s">
        <v>36</v>
      </c>
      <c r="F28" s="38">
        <v>14</v>
      </c>
      <c r="G28" s="39">
        <v>30</v>
      </c>
      <c r="H28" s="22">
        <f>I28/'BCIS Smmary'!$L$6</f>
        <v>0.18505300446770825</v>
      </c>
      <c r="I28" s="237">
        <f>F28*G28</f>
        <v>420</v>
      </c>
      <c r="J28" s="226" t="s">
        <v>386</v>
      </c>
      <c r="K28" s="1">
        <v>537.09</v>
      </c>
      <c r="L28" s="1"/>
      <c r="M28" s="1"/>
      <c r="N28" s="1"/>
    </row>
    <row r="29" spans="1:14" ht="12.75">
      <c r="A29" s="9"/>
      <c r="B29" s="33"/>
      <c r="C29" s="33"/>
      <c r="D29" s="33"/>
      <c r="E29" s="26"/>
      <c r="F29" s="38">
        <v>0</v>
      </c>
      <c r="G29" s="39">
        <v>0</v>
      </c>
      <c r="H29" s="22">
        <f>I29/'BCIS Smmary'!$L$6</f>
        <v>0</v>
      </c>
      <c r="I29" s="237">
        <f aca="true" t="shared" si="1" ref="I29:I34">F29*G29</f>
        <v>0</v>
      </c>
      <c r="J29" s="3" t="s">
        <v>387</v>
      </c>
      <c r="K29" s="1">
        <f>K13</f>
        <v>96.25999999999999</v>
      </c>
      <c r="L29" s="1"/>
      <c r="M29" s="1"/>
      <c r="N29" s="1"/>
    </row>
    <row r="30" spans="1:14" ht="12.75">
      <c r="A30" s="9"/>
      <c r="B30" s="33"/>
      <c r="C30" s="33"/>
      <c r="D30" s="33"/>
      <c r="E30" s="26"/>
      <c r="F30" s="38">
        <v>0</v>
      </c>
      <c r="G30" s="39">
        <v>0</v>
      </c>
      <c r="H30" s="22">
        <f>I30/'BCIS Smmary'!$L$6</f>
        <v>0</v>
      </c>
      <c r="I30" s="237">
        <f t="shared" si="1"/>
        <v>0</v>
      </c>
      <c r="J30" s="3" t="s">
        <v>201</v>
      </c>
      <c r="K30" s="1">
        <f>M13</f>
        <v>164.01</v>
      </c>
      <c r="L30" s="217"/>
      <c r="M30" s="217"/>
      <c r="N30" s="217"/>
    </row>
    <row r="31" spans="1:14" ht="12.75">
      <c r="A31" s="9"/>
      <c r="B31" s="33" t="s">
        <v>390</v>
      </c>
      <c r="C31" s="33"/>
      <c r="D31" s="33"/>
      <c r="E31" s="26" t="s">
        <v>155</v>
      </c>
      <c r="F31" s="38">
        <v>60</v>
      </c>
      <c r="G31" s="39">
        <v>125</v>
      </c>
      <c r="H31" s="22">
        <f>I31/'BCIS Smmary'!$L$6</f>
        <v>3.3045179369233617</v>
      </c>
      <c r="I31" s="237">
        <f t="shared" si="1"/>
        <v>7500</v>
      </c>
      <c r="J31" s="33" t="s">
        <v>388</v>
      </c>
      <c r="K31" s="70">
        <v>14</v>
      </c>
      <c r="L31" s="1">
        <f>SUM(K28:K31)</f>
        <v>811.36</v>
      </c>
      <c r="M31" s="217"/>
      <c r="N31" s="217"/>
    </row>
    <row r="32" spans="1:14" ht="12.75">
      <c r="A32" s="9"/>
      <c r="B32" s="33"/>
      <c r="C32" s="33"/>
      <c r="D32" s="33"/>
      <c r="E32" s="26"/>
      <c r="F32" s="38">
        <v>0</v>
      </c>
      <c r="G32" s="39">
        <v>0</v>
      </c>
      <c r="H32" s="22">
        <f>I32/'BCIS Smmary'!$L$6</f>
        <v>0</v>
      </c>
      <c r="I32" s="237">
        <f t="shared" si="1"/>
        <v>0</v>
      </c>
      <c r="J32" s="3"/>
      <c r="K32" s="29"/>
      <c r="L32" s="1"/>
      <c r="M32" s="217"/>
      <c r="N32" s="217"/>
    </row>
    <row r="33" spans="1:14" ht="13.5" thickBot="1">
      <c r="A33" s="9"/>
      <c r="B33" s="33" t="s">
        <v>213</v>
      </c>
      <c r="C33" s="33"/>
      <c r="D33" s="33" t="s">
        <v>392</v>
      </c>
      <c r="E33" s="26" t="s">
        <v>165</v>
      </c>
      <c r="F33" s="38">
        <v>1</v>
      </c>
      <c r="G33" s="39">
        <v>3000</v>
      </c>
      <c r="H33" s="22">
        <f>I33/'BCIS Smmary'!$L$6</f>
        <v>1.3218071747693447</v>
      </c>
      <c r="I33" s="237">
        <f t="shared" si="1"/>
        <v>3000</v>
      </c>
      <c r="J33" s="3"/>
      <c r="K33" s="1" t="s">
        <v>136</v>
      </c>
      <c r="L33" s="287">
        <f>L26-L31</f>
        <v>232.68999999999994</v>
      </c>
      <c r="M33" s="1"/>
      <c r="N33" s="1"/>
    </row>
    <row r="34" spans="1:14" ht="13.5" thickTop="1">
      <c r="A34" s="9"/>
      <c r="B34" s="33"/>
      <c r="C34" s="33"/>
      <c r="D34" s="33"/>
      <c r="E34" s="26"/>
      <c r="F34" s="38">
        <v>0</v>
      </c>
      <c r="G34" s="39">
        <v>0</v>
      </c>
      <c r="H34" s="22">
        <f>I34/'BCIS Smmary'!$L$6</f>
        <v>0</v>
      </c>
      <c r="I34" s="237">
        <f t="shared" si="1"/>
        <v>0</v>
      </c>
      <c r="J34" s="3"/>
      <c r="K34" s="1"/>
      <c r="L34" s="1"/>
      <c r="M34" s="1"/>
      <c r="N34" s="1"/>
    </row>
    <row r="35" spans="1:10" ht="12.75">
      <c r="A35" s="9"/>
      <c r="B35" s="33" t="s">
        <v>213</v>
      </c>
      <c r="C35" s="33"/>
      <c r="D35" s="33" t="s">
        <v>391</v>
      </c>
      <c r="E35" s="26" t="s">
        <v>165</v>
      </c>
      <c r="F35" s="38">
        <v>2</v>
      </c>
      <c r="G35" s="39">
        <v>1500</v>
      </c>
      <c r="H35" s="22">
        <f>I35/'BCIS Smmary'!$L$6</f>
        <v>1.3218071747693447</v>
      </c>
      <c r="I35" s="237">
        <f aca="true" t="shared" si="2" ref="I35:I48">F35*G35</f>
        <v>3000</v>
      </c>
      <c r="J35" s="1"/>
    </row>
    <row r="36" spans="1:9" ht="12.75">
      <c r="A36" s="9"/>
      <c r="B36" s="33"/>
      <c r="C36" s="33"/>
      <c r="D36" s="33"/>
      <c r="E36" s="26"/>
      <c r="F36" s="38">
        <v>0</v>
      </c>
      <c r="G36" s="39">
        <v>0</v>
      </c>
      <c r="H36" s="22">
        <f>I36/'BCIS Smmary'!$L$6</f>
        <v>0</v>
      </c>
      <c r="I36" s="237">
        <f t="shared" si="2"/>
        <v>0</v>
      </c>
    </row>
    <row r="37" spans="1:9" ht="12.75">
      <c r="A37" s="9"/>
      <c r="B37" s="33" t="s">
        <v>393</v>
      </c>
      <c r="C37" s="33"/>
      <c r="D37" s="33"/>
      <c r="E37" s="26" t="s">
        <v>165</v>
      </c>
      <c r="F37" s="38">
        <v>30</v>
      </c>
      <c r="G37" s="39">
        <v>150</v>
      </c>
      <c r="H37" s="22">
        <f>I37/'BCIS Smmary'!$L$6</f>
        <v>1.982710762154017</v>
      </c>
      <c r="I37" s="237">
        <f t="shared" si="2"/>
        <v>4500</v>
      </c>
    </row>
    <row r="38" spans="1:9" ht="12.75">
      <c r="A38" s="9"/>
      <c r="B38" s="33"/>
      <c r="C38" s="33"/>
      <c r="D38" s="33"/>
      <c r="E38" s="26"/>
      <c r="F38" s="38">
        <v>0</v>
      </c>
      <c r="G38" s="39">
        <v>0</v>
      </c>
      <c r="H38" s="22">
        <f>I38/'BCIS Smmary'!$L$6</f>
        <v>0</v>
      </c>
      <c r="I38" s="237">
        <f t="shared" si="2"/>
        <v>0</v>
      </c>
    </row>
    <row r="39" spans="1:9" ht="12.75">
      <c r="A39" s="9"/>
      <c r="B39" s="33"/>
      <c r="C39" s="33"/>
      <c r="D39" s="33"/>
      <c r="E39" s="26"/>
      <c r="F39" s="38">
        <v>0</v>
      </c>
      <c r="G39" s="39">
        <v>0</v>
      </c>
      <c r="H39" s="22">
        <f>I39/'BCIS Smmary'!$L$6</f>
        <v>0</v>
      </c>
      <c r="I39" s="237">
        <f t="shared" si="2"/>
        <v>0</v>
      </c>
    </row>
    <row r="40" spans="1:9" ht="12.75">
      <c r="A40" s="9"/>
      <c r="B40" s="33"/>
      <c r="C40" s="33"/>
      <c r="D40" s="33"/>
      <c r="E40" s="26"/>
      <c r="F40" s="38">
        <v>0</v>
      </c>
      <c r="G40" s="39">
        <v>0</v>
      </c>
      <c r="H40" s="22">
        <f>I40/'BCIS Smmary'!$L$6</f>
        <v>0</v>
      </c>
      <c r="I40" s="237">
        <f t="shared" si="2"/>
        <v>0</v>
      </c>
    </row>
    <row r="41" spans="1:9" ht="12.75">
      <c r="A41" s="9"/>
      <c r="B41" s="33"/>
      <c r="C41" s="33"/>
      <c r="D41" s="33"/>
      <c r="E41" s="26"/>
      <c r="F41" s="38">
        <v>0</v>
      </c>
      <c r="G41" s="39">
        <v>0</v>
      </c>
      <c r="H41" s="22">
        <f>I41/'BCIS Smmary'!$L$6</f>
        <v>0</v>
      </c>
      <c r="I41" s="237">
        <f t="shared" si="2"/>
        <v>0</v>
      </c>
    </row>
    <row r="42" spans="1:9" ht="12.75">
      <c r="A42" s="9"/>
      <c r="B42" s="33"/>
      <c r="C42" s="33"/>
      <c r="D42" s="33"/>
      <c r="E42" s="26"/>
      <c r="F42" s="38">
        <v>0</v>
      </c>
      <c r="G42" s="39">
        <v>0</v>
      </c>
      <c r="H42" s="22">
        <f>I42/'BCIS Smmary'!$L$6</f>
        <v>0</v>
      </c>
      <c r="I42" s="237">
        <f t="shared" si="2"/>
        <v>0</v>
      </c>
    </row>
    <row r="43" spans="1:9" ht="12.75">
      <c r="A43" s="9"/>
      <c r="B43" s="33"/>
      <c r="C43" s="33"/>
      <c r="D43" s="33"/>
      <c r="E43" s="26"/>
      <c r="F43" s="38">
        <v>0</v>
      </c>
      <c r="G43" s="39">
        <v>0</v>
      </c>
      <c r="H43" s="22">
        <f>I43/'BCIS Smmary'!$L$6</f>
        <v>0</v>
      </c>
      <c r="I43" s="237">
        <f t="shared" si="2"/>
        <v>0</v>
      </c>
    </row>
    <row r="44" spans="1:9" ht="12.75">
      <c r="A44" s="9"/>
      <c r="B44" s="33"/>
      <c r="C44" s="33"/>
      <c r="D44" s="33"/>
      <c r="E44" s="26"/>
      <c r="F44" s="38">
        <v>0</v>
      </c>
      <c r="G44" s="39">
        <v>0</v>
      </c>
      <c r="H44" s="22">
        <f>I44/'BCIS Smmary'!$L$6</f>
        <v>0</v>
      </c>
      <c r="I44" s="237">
        <f t="shared" si="2"/>
        <v>0</v>
      </c>
    </row>
    <row r="45" spans="1:9" ht="12.75">
      <c r="A45" s="9"/>
      <c r="B45" s="33"/>
      <c r="C45" s="33"/>
      <c r="D45" s="33"/>
      <c r="E45" s="26"/>
      <c r="F45" s="38">
        <v>0</v>
      </c>
      <c r="G45" s="39">
        <v>0</v>
      </c>
      <c r="H45" s="22">
        <f>I45/'BCIS Smmary'!$L$6</f>
        <v>0</v>
      </c>
      <c r="I45" s="237">
        <f t="shared" si="2"/>
        <v>0</v>
      </c>
    </row>
    <row r="46" spans="1:9" ht="12.75">
      <c r="A46" s="9"/>
      <c r="B46" s="33"/>
      <c r="C46" s="33"/>
      <c r="D46" s="33"/>
      <c r="E46" s="26"/>
      <c r="F46" s="38">
        <v>0</v>
      </c>
      <c r="G46" s="39">
        <v>0</v>
      </c>
      <c r="H46" s="22">
        <f>I46/'BCIS Smmary'!$L$6</f>
        <v>0</v>
      </c>
      <c r="I46" s="237">
        <f t="shared" si="2"/>
        <v>0</v>
      </c>
    </row>
    <row r="47" spans="1:9" ht="12.75">
      <c r="A47" s="9"/>
      <c r="B47" s="33"/>
      <c r="C47" s="33"/>
      <c r="D47" s="33"/>
      <c r="E47" s="26"/>
      <c r="F47" s="38">
        <v>0</v>
      </c>
      <c r="G47" s="39">
        <v>0</v>
      </c>
      <c r="H47" s="22">
        <f>I47/'BCIS Smmary'!$L$6</f>
        <v>0</v>
      </c>
      <c r="I47" s="237">
        <f t="shared" si="2"/>
        <v>0</v>
      </c>
    </row>
    <row r="48" spans="1:9" ht="12.75">
      <c r="A48" s="9"/>
      <c r="B48" s="33"/>
      <c r="C48" s="33"/>
      <c r="D48" s="33"/>
      <c r="E48" s="26"/>
      <c r="F48" s="38">
        <v>0</v>
      </c>
      <c r="G48" s="39">
        <v>0</v>
      </c>
      <c r="H48" s="22">
        <f>I48/'BCIS Smmary'!$L$6</f>
        <v>0</v>
      </c>
      <c r="I48" s="237">
        <f t="shared" si="2"/>
        <v>0</v>
      </c>
    </row>
    <row r="49" spans="1:9" ht="12.75">
      <c r="A49" s="34" t="s">
        <v>29</v>
      </c>
      <c r="B49" s="35"/>
      <c r="C49" s="35"/>
      <c r="D49" s="35"/>
      <c r="E49" s="34"/>
      <c r="F49" s="43"/>
      <c r="G49" s="43"/>
      <c r="H49" s="32">
        <f>I49/'BCIS Smmary'!$L$6</f>
        <v>29.799944484098656</v>
      </c>
      <c r="I49" s="44">
        <f>SUM(I5:I48)</f>
        <v>67634.54999999999</v>
      </c>
    </row>
    <row r="50" spans="1:9" ht="12.75">
      <c r="A50" s="72"/>
      <c r="B50" s="45" t="s">
        <v>8</v>
      </c>
      <c r="C50" s="45"/>
      <c r="D50" s="45"/>
      <c r="E50" s="45"/>
      <c r="F50" s="45"/>
      <c r="G50" s="45"/>
      <c r="H50" s="45"/>
      <c r="I50" s="4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&amp;L&amp;D  &amp;T&amp;C18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8" sqref="C8"/>
    </sheetView>
  </sheetViews>
  <sheetFormatPr defaultColWidth="9.140625" defaultRowHeight="12.75"/>
  <cols>
    <col min="3" max="3" width="14.00390625" style="292" bestFit="1" customWidth="1"/>
  </cols>
  <sheetData>
    <row r="1" spans="1:3" ht="12.75">
      <c r="A1" t="s">
        <v>435</v>
      </c>
      <c r="C1" s="292">
        <f>'Tenure Split - new'!J69</f>
        <v>4222548.5356</v>
      </c>
    </row>
    <row r="2" spans="1:3" ht="12.75">
      <c r="A2" t="s">
        <v>501</v>
      </c>
      <c r="C2" s="419">
        <f>'Tenure Split - new'!H43</f>
        <v>1898</v>
      </c>
    </row>
    <row r="3" spans="1:3" ht="12.75">
      <c r="A3" t="s">
        <v>502</v>
      </c>
      <c r="C3" s="419">
        <f>Areas!L50+Areas!M50</f>
        <v>134.37</v>
      </c>
    </row>
    <row r="4" spans="1:3" ht="12.75">
      <c r="A4" t="s">
        <v>456</v>
      </c>
      <c r="C4" s="419">
        <f>Areas!F38</f>
        <v>58.66</v>
      </c>
    </row>
    <row r="5" spans="1:3" ht="12.75">
      <c r="A5" t="s">
        <v>503</v>
      </c>
      <c r="C5" s="419">
        <f>Areas!D38</f>
        <v>34.58</v>
      </c>
    </row>
    <row r="6" spans="1:3" ht="12.75">
      <c r="A6" t="s">
        <v>504</v>
      </c>
      <c r="C6" s="419">
        <f>Areas!D51</f>
        <v>144.01</v>
      </c>
    </row>
    <row r="8" spans="1:3" ht="12.75">
      <c r="A8" t="s">
        <v>505</v>
      </c>
      <c r="C8" s="420">
        <f>C1/(C2+C3+C4+C5+C6)</f>
        <v>1860.46498338929</v>
      </c>
    </row>
    <row r="10" ht="12.75">
      <c r="C10" s="419">
        <f>SUM(C2:C6)</f>
        <v>2269.62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N50"/>
  <sheetViews>
    <sheetView workbookViewId="0" topLeftCell="A1">
      <selection activeCell="C8" sqref="C8:I11"/>
    </sheetView>
  </sheetViews>
  <sheetFormatPr defaultColWidth="9.140625" defaultRowHeight="12.75"/>
  <cols>
    <col min="1" max="1" width="3.57421875" style="37" customWidth="1"/>
    <col min="4" max="4" width="15.8515625" style="0" customWidth="1"/>
    <col min="5" max="5" width="5.7109375" style="0" customWidth="1"/>
    <col min="7" max="7" width="10.28125" style="0" bestFit="1" customWidth="1"/>
    <col min="8" max="8" width="11.28125" style="0" bestFit="1" customWidth="1"/>
    <col min="9" max="9" width="13.140625" style="0" customWidth="1"/>
  </cols>
  <sheetData>
    <row r="1" spans="1:9" ht="12.75">
      <c r="A1" s="84" t="s">
        <v>10</v>
      </c>
      <c r="B1" s="85"/>
      <c r="C1" s="85"/>
      <c r="D1" s="86" t="s">
        <v>30</v>
      </c>
      <c r="E1" s="85"/>
      <c r="F1" s="85"/>
      <c r="G1" s="85"/>
      <c r="H1" s="85"/>
      <c r="I1" s="87"/>
    </row>
    <row r="2" spans="1:9" ht="12.75">
      <c r="A2" s="28" t="s">
        <v>11</v>
      </c>
      <c r="B2" s="7"/>
      <c r="C2" s="7"/>
      <c r="D2" s="7"/>
      <c r="E2" s="14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9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4" ht="12.75">
      <c r="A4" s="71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</row>
    <row r="5" spans="1:14" ht="12.75">
      <c r="A5" s="9"/>
      <c r="B5" s="7"/>
      <c r="C5" s="7"/>
      <c r="D5" s="7"/>
      <c r="E5" s="6"/>
      <c r="F5" s="8"/>
      <c r="G5" s="12"/>
      <c r="H5" s="22"/>
      <c r="I5" s="187"/>
      <c r="J5" s="3"/>
      <c r="K5" s="1"/>
      <c r="L5" s="1"/>
      <c r="M5" s="1"/>
      <c r="N5" s="1"/>
    </row>
    <row r="6" spans="1:14" ht="12.75">
      <c r="A6" s="9"/>
      <c r="B6" s="7" t="s">
        <v>203</v>
      </c>
      <c r="C6" s="7"/>
      <c r="D6" s="7"/>
      <c r="E6" s="6"/>
      <c r="F6" s="8">
        <v>0</v>
      </c>
      <c r="G6" s="12">
        <v>0</v>
      </c>
      <c r="H6" s="22">
        <f>I6/'BCIS Smmary'!$L$6</f>
        <v>0</v>
      </c>
      <c r="I6" s="187">
        <f aca="true" t="shared" si="0" ref="I6:I47">F6*G6</f>
        <v>0</v>
      </c>
      <c r="J6" s="3"/>
      <c r="K6" s="1"/>
      <c r="L6" s="217"/>
      <c r="M6" s="1"/>
      <c r="N6" s="1"/>
    </row>
    <row r="7" spans="1:14" ht="12.75">
      <c r="A7" s="9"/>
      <c r="B7" s="7"/>
      <c r="C7" s="7"/>
      <c r="D7" s="7"/>
      <c r="E7" s="6"/>
      <c r="F7" s="8">
        <v>0</v>
      </c>
      <c r="G7" s="12">
        <v>0</v>
      </c>
      <c r="H7" s="22">
        <f>I7/'BCIS Smmary'!$L$6</f>
        <v>0</v>
      </c>
      <c r="I7" s="187">
        <f t="shared" si="0"/>
        <v>0</v>
      </c>
      <c r="J7" s="3"/>
      <c r="K7" s="1"/>
      <c r="L7" s="217"/>
      <c r="M7" s="1"/>
      <c r="N7" s="1"/>
    </row>
    <row r="8" spans="1:14" ht="12.75">
      <c r="A8" s="9"/>
      <c r="B8" s="7"/>
      <c r="C8" s="7" t="s">
        <v>204</v>
      </c>
      <c r="D8" s="7"/>
      <c r="E8" s="6" t="s">
        <v>36</v>
      </c>
      <c r="F8" s="8">
        <f>Areas!Q38+Areas!T38</f>
        <v>2671.6799999999994</v>
      </c>
      <c r="G8" s="12">
        <v>30</v>
      </c>
      <c r="H8" s="22">
        <f>I8/'BCIS Smmary'!$L$6</f>
        <v>35.31445792687762</v>
      </c>
      <c r="I8" s="187">
        <f t="shared" si="0"/>
        <v>80150.39999999998</v>
      </c>
      <c r="J8" s="3"/>
      <c r="K8" s="1"/>
      <c r="L8" s="217"/>
      <c r="M8" s="1"/>
      <c r="N8" s="1"/>
    </row>
    <row r="9" spans="1:14" ht="12.75">
      <c r="A9" s="9"/>
      <c r="B9" s="7"/>
      <c r="C9" s="7"/>
      <c r="D9" s="7"/>
      <c r="E9" s="6"/>
      <c r="F9" s="8">
        <v>0</v>
      </c>
      <c r="G9" s="12">
        <v>0</v>
      </c>
      <c r="H9" s="22">
        <f>I9/'BCIS Smmary'!$L$6</f>
        <v>0</v>
      </c>
      <c r="I9" s="187">
        <f t="shared" si="0"/>
        <v>0</v>
      </c>
      <c r="J9" s="3"/>
      <c r="K9" s="1"/>
      <c r="L9" s="1"/>
      <c r="M9" s="1"/>
      <c r="N9" s="1"/>
    </row>
    <row r="10" spans="1:14" ht="12.75">
      <c r="A10" s="9"/>
      <c r="B10" s="7"/>
      <c r="C10" s="7" t="s">
        <v>205</v>
      </c>
      <c r="D10" s="7"/>
      <c r="E10" s="6" t="s">
        <v>36</v>
      </c>
      <c r="F10" s="8">
        <f>'Roads paths etc'!L26-'Roads paths etc'!K28</f>
        <v>506.9599999999999</v>
      </c>
      <c r="G10" s="12">
        <v>10</v>
      </c>
      <c r="H10" s="22">
        <f>I10/'BCIS Smmary'!$L$6</f>
        <v>2.2336778844035563</v>
      </c>
      <c r="I10" s="187">
        <f t="shared" si="0"/>
        <v>5069.599999999999</v>
      </c>
      <c r="J10" s="3"/>
      <c r="K10" s="1"/>
      <c r="L10" s="187"/>
      <c r="M10" s="1"/>
      <c r="N10" s="1"/>
    </row>
    <row r="11" spans="1:14" ht="12.75">
      <c r="A11" s="9"/>
      <c r="B11" s="7"/>
      <c r="C11" s="7"/>
      <c r="D11" s="7"/>
      <c r="E11" s="6"/>
      <c r="F11" s="8">
        <v>0</v>
      </c>
      <c r="G11" s="12">
        <v>0</v>
      </c>
      <c r="H11" s="22">
        <f>I11/'BCIS Smmary'!$L$6</f>
        <v>0</v>
      </c>
      <c r="I11" s="187">
        <f t="shared" si="0"/>
        <v>0</v>
      </c>
      <c r="J11" s="3"/>
      <c r="K11" s="1"/>
      <c r="L11" s="187"/>
      <c r="M11" s="1"/>
      <c r="N11" s="1"/>
    </row>
    <row r="12" spans="1:14" ht="12.75">
      <c r="A12" s="9"/>
      <c r="B12" s="7"/>
      <c r="C12" s="7"/>
      <c r="D12" s="7"/>
      <c r="E12" s="6"/>
      <c r="F12" s="8">
        <v>0</v>
      </c>
      <c r="G12" s="12">
        <v>0</v>
      </c>
      <c r="H12" s="22">
        <f>I12/'BCIS Smmary'!$L$6</f>
        <v>0</v>
      </c>
      <c r="I12" s="187">
        <f t="shared" si="0"/>
        <v>0</v>
      </c>
      <c r="J12" s="3"/>
      <c r="K12" s="1"/>
      <c r="L12" s="187"/>
      <c r="M12" s="1"/>
      <c r="N12" s="1"/>
    </row>
    <row r="13" spans="1:14" ht="12.75">
      <c r="A13" s="9"/>
      <c r="B13" s="7"/>
      <c r="C13" s="7"/>
      <c r="D13" s="7"/>
      <c r="E13" s="6"/>
      <c r="F13" s="8">
        <v>0</v>
      </c>
      <c r="G13" s="12">
        <v>0</v>
      </c>
      <c r="H13" s="22">
        <f>I13/'BCIS Smmary'!$L$6</f>
        <v>0</v>
      </c>
      <c r="I13" s="187">
        <f t="shared" si="0"/>
        <v>0</v>
      </c>
      <c r="J13" s="3"/>
      <c r="K13" s="1"/>
      <c r="L13" s="187"/>
      <c r="M13" s="1"/>
      <c r="N13" s="1"/>
    </row>
    <row r="14" spans="1:14" ht="12.75">
      <c r="A14" s="9"/>
      <c r="B14" s="7"/>
      <c r="C14" s="7"/>
      <c r="D14" s="7"/>
      <c r="E14" s="6"/>
      <c r="F14" s="8">
        <v>0</v>
      </c>
      <c r="G14" s="12">
        <v>0</v>
      </c>
      <c r="H14" s="22">
        <f>I14/'BCIS Smmary'!$L$6</f>
        <v>0</v>
      </c>
      <c r="I14" s="187">
        <f t="shared" si="0"/>
        <v>0</v>
      </c>
      <c r="J14" s="3"/>
      <c r="K14" s="1"/>
      <c r="L14" s="187"/>
      <c r="M14" s="1"/>
      <c r="N14" s="1"/>
    </row>
    <row r="15" spans="1:14" ht="12.75">
      <c r="A15" s="9"/>
      <c r="B15" s="7"/>
      <c r="C15" s="7"/>
      <c r="D15" s="7"/>
      <c r="E15" s="6"/>
      <c r="F15" s="8">
        <v>0</v>
      </c>
      <c r="G15" s="12">
        <v>0</v>
      </c>
      <c r="H15" s="22">
        <f>I15/'BCIS Smmary'!$L$6</f>
        <v>0</v>
      </c>
      <c r="I15" s="187">
        <f t="shared" si="0"/>
        <v>0</v>
      </c>
      <c r="J15" s="226"/>
      <c r="K15" s="1"/>
      <c r="L15" s="187"/>
      <c r="M15" s="1"/>
      <c r="N15" s="1"/>
    </row>
    <row r="16" spans="1:14" ht="12.75">
      <c r="A16" s="9"/>
      <c r="B16" s="7"/>
      <c r="C16" s="7"/>
      <c r="D16" s="7"/>
      <c r="E16" s="6"/>
      <c r="F16" s="8">
        <v>0</v>
      </c>
      <c r="G16" s="12">
        <v>0</v>
      </c>
      <c r="H16" s="22">
        <f>I16/'BCIS Smmary'!$L$6</f>
        <v>0</v>
      </c>
      <c r="I16" s="187">
        <f t="shared" si="0"/>
        <v>0</v>
      </c>
      <c r="J16" s="3"/>
      <c r="K16" s="1"/>
      <c r="L16" s="187"/>
      <c r="M16" s="1"/>
      <c r="N16" s="1"/>
    </row>
    <row r="17" spans="1:14" ht="12.75">
      <c r="A17" s="9"/>
      <c r="B17" s="7"/>
      <c r="C17" s="7"/>
      <c r="D17" s="7"/>
      <c r="E17" s="6"/>
      <c r="F17" s="8">
        <v>0</v>
      </c>
      <c r="G17" s="12">
        <v>0</v>
      </c>
      <c r="H17" s="22">
        <f>I17/'BCIS Smmary'!$L$6</f>
        <v>0</v>
      </c>
      <c r="I17" s="187">
        <f t="shared" si="0"/>
        <v>0</v>
      </c>
      <c r="J17" s="3"/>
      <c r="K17" s="1"/>
      <c r="L17" s="187"/>
      <c r="M17" s="1"/>
      <c r="N17" s="1"/>
    </row>
    <row r="18" spans="1:14" ht="12.75">
      <c r="A18" s="9"/>
      <c r="B18" s="7"/>
      <c r="C18" s="7"/>
      <c r="D18" s="7"/>
      <c r="E18" s="6"/>
      <c r="F18" s="8">
        <v>0</v>
      </c>
      <c r="G18" s="12">
        <v>0</v>
      </c>
      <c r="H18" s="22">
        <f>I18/'BCIS Smmary'!$L$6</f>
        <v>0</v>
      </c>
      <c r="I18" s="187">
        <f t="shared" si="0"/>
        <v>0</v>
      </c>
      <c r="J18" s="3"/>
      <c r="K18" s="1"/>
      <c r="L18" s="217"/>
      <c r="M18" s="1"/>
      <c r="N18" s="1"/>
    </row>
    <row r="19" spans="1:14" ht="12.75">
      <c r="A19" s="9"/>
      <c r="B19" s="7"/>
      <c r="C19" s="7"/>
      <c r="D19" s="7"/>
      <c r="E19" s="6"/>
      <c r="F19" s="8">
        <v>0</v>
      </c>
      <c r="G19" s="12">
        <v>0</v>
      </c>
      <c r="H19" s="22">
        <f>I19/'BCIS Smmary'!$L$6</f>
        <v>0</v>
      </c>
      <c r="I19" s="187">
        <f t="shared" si="0"/>
        <v>0</v>
      </c>
      <c r="J19" s="226"/>
      <c r="K19" s="1"/>
      <c r="L19" s="1"/>
      <c r="M19" s="1"/>
      <c r="N19" s="1"/>
    </row>
    <row r="20" spans="1:14" ht="12.75">
      <c r="A20" s="9"/>
      <c r="B20" s="7"/>
      <c r="C20" s="7"/>
      <c r="D20" s="7"/>
      <c r="E20" s="6"/>
      <c r="F20" s="8">
        <v>0</v>
      </c>
      <c r="G20" s="12">
        <v>0</v>
      </c>
      <c r="H20" s="22">
        <f>I20/'BCIS Smmary'!$L$6</f>
        <v>0</v>
      </c>
      <c r="I20" s="187">
        <f t="shared" si="0"/>
        <v>0</v>
      </c>
      <c r="J20" s="226"/>
      <c r="K20" s="1"/>
      <c r="L20" s="1"/>
      <c r="M20" s="1"/>
      <c r="N20" s="1"/>
    </row>
    <row r="21" spans="1:14" ht="12.75">
      <c r="A21" s="9"/>
      <c r="B21" s="7"/>
      <c r="C21" s="7"/>
      <c r="D21" s="7"/>
      <c r="E21" s="6"/>
      <c r="F21" s="8">
        <v>0</v>
      </c>
      <c r="G21" s="12">
        <v>0</v>
      </c>
      <c r="H21" s="22">
        <f>I21/'BCIS Smmary'!$L$6</f>
        <v>0</v>
      </c>
      <c r="I21" s="187">
        <f t="shared" si="0"/>
        <v>0</v>
      </c>
      <c r="J21" s="3"/>
      <c r="K21" s="1"/>
      <c r="L21" s="1"/>
      <c r="M21" s="1"/>
      <c r="N21" s="1"/>
    </row>
    <row r="22" spans="1:14" ht="12.75">
      <c r="A22" s="9"/>
      <c r="B22" s="7"/>
      <c r="C22" s="7"/>
      <c r="D22" s="7"/>
      <c r="E22" s="6"/>
      <c r="F22" s="8">
        <v>0</v>
      </c>
      <c r="G22" s="12">
        <v>0</v>
      </c>
      <c r="H22" s="22">
        <f>I22/'BCIS Smmary'!$L$6</f>
        <v>0</v>
      </c>
      <c r="I22" s="187">
        <f t="shared" si="0"/>
        <v>0</v>
      </c>
      <c r="J22" s="3"/>
      <c r="K22" s="1"/>
      <c r="L22" s="217"/>
      <c r="M22" s="1"/>
      <c r="N22" s="1"/>
    </row>
    <row r="23" spans="1:14" ht="12.75">
      <c r="A23" s="9"/>
      <c r="B23" s="7"/>
      <c r="C23" s="7"/>
      <c r="D23" s="7"/>
      <c r="E23" s="6"/>
      <c r="F23" s="8">
        <v>0</v>
      </c>
      <c r="G23" s="12">
        <v>0</v>
      </c>
      <c r="H23" s="22">
        <f>I23/'BCIS Smmary'!$L$6</f>
        <v>0</v>
      </c>
      <c r="I23" s="187">
        <f t="shared" si="0"/>
        <v>0</v>
      </c>
      <c r="J23" s="3"/>
      <c r="K23" s="1"/>
      <c r="L23" s="1"/>
      <c r="M23" s="1"/>
      <c r="N23" s="1"/>
    </row>
    <row r="24" spans="1:14" ht="12.75">
      <c r="A24" s="9"/>
      <c r="B24" s="7"/>
      <c r="C24" s="7"/>
      <c r="D24" s="7"/>
      <c r="E24" s="6"/>
      <c r="F24" s="8">
        <v>0</v>
      </c>
      <c r="G24" s="12">
        <v>0</v>
      </c>
      <c r="H24" s="22">
        <f>I24/'BCIS Smmary'!$L$6</f>
        <v>0</v>
      </c>
      <c r="I24" s="187">
        <f t="shared" si="0"/>
        <v>0</v>
      </c>
      <c r="J24" s="3"/>
      <c r="K24" s="1"/>
      <c r="L24" s="217"/>
      <c r="M24" s="1"/>
      <c r="N24" s="1"/>
    </row>
    <row r="25" spans="1:14" ht="12.75">
      <c r="A25" s="9"/>
      <c r="B25" s="7"/>
      <c r="C25" s="7"/>
      <c r="D25" s="7"/>
      <c r="E25" s="6"/>
      <c r="F25" s="8">
        <v>0</v>
      </c>
      <c r="G25" s="12">
        <v>0</v>
      </c>
      <c r="H25" s="22">
        <f>I25/'BCIS Smmary'!$L$6</f>
        <v>0</v>
      </c>
      <c r="I25" s="187">
        <f t="shared" si="0"/>
        <v>0</v>
      </c>
      <c r="J25" s="3"/>
      <c r="K25" s="1"/>
      <c r="L25" s="1"/>
      <c r="M25" s="1"/>
      <c r="N25" s="1"/>
    </row>
    <row r="26" spans="1:14" ht="12.75">
      <c r="A26" s="9"/>
      <c r="B26" s="7"/>
      <c r="C26" s="7"/>
      <c r="D26" s="7"/>
      <c r="E26" s="6"/>
      <c r="F26" s="8">
        <v>0</v>
      </c>
      <c r="G26" s="12">
        <v>0</v>
      </c>
      <c r="H26" s="22">
        <f>I26/'BCIS Smmary'!$L$6</f>
        <v>0</v>
      </c>
      <c r="I26" s="187">
        <f t="shared" si="0"/>
        <v>0</v>
      </c>
      <c r="J26" s="3"/>
      <c r="K26" s="1"/>
      <c r="L26" s="217"/>
      <c r="M26" s="1"/>
      <c r="N26" s="1"/>
    </row>
    <row r="27" spans="1:14" ht="12.75">
      <c r="A27" s="9"/>
      <c r="B27" s="7"/>
      <c r="C27" s="7"/>
      <c r="D27" s="7"/>
      <c r="E27" s="6"/>
      <c r="F27" s="8">
        <v>0</v>
      </c>
      <c r="G27" s="12">
        <v>0</v>
      </c>
      <c r="H27" s="22">
        <f>I27/'BCIS Smmary'!$L$6</f>
        <v>0</v>
      </c>
      <c r="I27" s="187">
        <f t="shared" si="0"/>
        <v>0</v>
      </c>
      <c r="J27" s="3"/>
      <c r="K27" s="1"/>
      <c r="L27" s="1"/>
      <c r="M27" s="1"/>
      <c r="N27" s="1"/>
    </row>
    <row r="28" spans="1:14" ht="12.75">
      <c r="A28" s="9"/>
      <c r="B28" s="7"/>
      <c r="C28" s="7"/>
      <c r="D28" s="7"/>
      <c r="E28" s="6"/>
      <c r="F28" s="8">
        <v>0</v>
      </c>
      <c r="G28" s="12">
        <v>0</v>
      </c>
      <c r="H28" s="22">
        <f>I28/'BCIS Smmary'!$L$6</f>
        <v>0</v>
      </c>
      <c r="I28" s="187">
        <f aca="true" t="shared" si="1" ref="I28:I33">F28*G28</f>
        <v>0</v>
      </c>
      <c r="J28" s="226"/>
      <c r="K28" s="1"/>
      <c r="L28" s="1"/>
      <c r="M28" s="1"/>
      <c r="N28" s="1"/>
    </row>
    <row r="29" spans="1:14" ht="12.75">
      <c r="A29" s="9"/>
      <c r="B29" s="7"/>
      <c r="C29" s="7"/>
      <c r="D29" s="7"/>
      <c r="E29" s="6"/>
      <c r="F29" s="8">
        <v>0</v>
      </c>
      <c r="G29" s="12">
        <v>0</v>
      </c>
      <c r="H29" s="22">
        <f>I29/'BCIS Smmary'!$L$6</f>
        <v>0</v>
      </c>
      <c r="I29" s="187">
        <f t="shared" si="1"/>
        <v>0</v>
      </c>
      <c r="J29" s="3"/>
      <c r="K29" s="1"/>
      <c r="L29" s="1"/>
      <c r="M29" s="1"/>
      <c r="N29" s="1"/>
    </row>
    <row r="30" spans="1:14" ht="12.75">
      <c r="A30" s="9"/>
      <c r="B30" s="7"/>
      <c r="C30" s="7"/>
      <c r="D30" s="7"/>
      <c r="E30" s="6"/>
      <c r="F30" s="8">
        <v>0</v>
      </c>
      <c r="G30" s="12">
        <v>0</v>
      </c>
      <c r="H30" s="22">
        <f>I30/'BCIS Smmary'!$L$6</f>
        <v>0</v>
      </c>
      <c r="I30" s="187">
        <f t="shared" si="1"/>
        <v>0</v>
      </c>
      <c r="J30" s="3"/>
      <c r="K30" s="1"/>
      <c r="L30" s="217"/>
      <c r="M30" s="217"/>
      <c r="N30" s="217"/>
    </row>
    <row r="31" spans="1:14" ht="12.75">
      <c r="A31" s="9"/>
      <c r="B31" s="7"/>
      <c r="C31" s="7"/>
      <c r="D31" s="7"/>
      <c r="E31" s="6"/>
      <c r="F31" s="8">
        <v>0</v>
      </c>
      <c r="G31" s="12">
        <v>0</v>
      </c>
      <c r="H31" s="22">
        <f>I31/'BCIS Smmary'!$L$6</f>
        <v>0</v>
      </c>
      <c r="I31" s="187">
        <f t="shared" si="1"/>
        <v>0</v>
      </c>
      <c r="J31" s="3"/>
      <c r="K31" s="1"/>
      <c r="L31" s="1"/>
      <c r="M31" s="217"/>
      <c r="N31" s="217"/>
    </row>
    <row r="32" spans="1:14" ht="12.75">
      <c r="A32" s="9"/>
      <c r="B32" s="7"/>
      <c r="C32" s="7"/>
      <c r="D32" s="7"/>
      <c r="E32" s="6"/>
      <c r="F32" s="8">
        <v>0</v>
      </c>
      <c r="G32" s="12">
        <v>0</v>
      </c>
      <c r="H32" s="22">
        <f>I32/'BCIS Smmary'!$L$6</f>
        <v>0</v>
      </c>
      <c r="I32" s="187">
        <f t="shared" si="1"/>
        <v>0</v>
      </c>
      <c r="J32" s="3"/>
      <c r="K32" s="1"/>
      <c r="L32" s="1"/>
      <c r="M32" s="217"/>
      <c r="N32" s="217"/>
    </row>
    <row r="33" spans="1:14" ht="12.75">
      <c r="A33" s="9"/>
      <c r="B33" s="7"/>
      <c r="C33" s="7"/>
      <c r="D33" s="7"/>
      <c r="E33" s="6"/>
      <c r="F33" s="8">
        <v>0</v>
      </c>
      <c r="G33" s="12">
        <v>0</v>
      </c>
      <c r="H33" s="22">
        <f>I33/'BCIS Smmary'!$L$6</f>
        <v>0</v>
      </c>
      <c r="I33" s="187">
        <f t="shared" si="1"/>
        <v>0</v>
      </c>
      <c r="J33" s="3"/>
      <c r="K33" s="1"/>
      <c r="L33" s="1"/>
      <c r="M33" s="1"/>
      <c r="N33" s="1"/>
    </row>
    <row r="34" spans="1:9" ht="12.75">
      <c r="A34" s="9"/>
      <c r="B34" s="7"/>
      <c r="C34" s="7"/>
      <c r="D34" s="7"/>
      <c r="E34" s="6"/>
      <c r="F34" s="8">
        <v>0</v>
      </c>
      <c r="G34" s="12">
        <v>0</v>
      </c>
      <c r="H34" s="22">
        <f>I34/'BCIS Smmary'!$L$6</f>
        <v>0</v>
      </c>
      <c r="I34" s="23">
        <f t="shared" si="0"/>
        <v>0</v>
      </c>
    </row>
    <row r="35" spans="1:9" ht="12.75">
      <c r="A35" s="9"/>
      <c r="B35" s="7"/>
      <c r="C35" s="7"/>
      <c r="D35" s="7"/>
      <c r="E35" s="6"/>
      <c r="F35" s="8">
        <v>0</v>
      </c>
      <c r="G35" s="12">
        <v>0</v>
      </c>
      <c r="H35" s="22">
        <f>I35/'BCIS Smmary'!$L$6</f>
        <v>0</v>
      </c>
      <c r="I35" s="23">
        <f t="shared" si="0"/>
        <v>0</v>
      </c>
    </row>
    <row r="36" spans="1:9" ht="12.75">
      <c r="A36" s="9"/>
      <c r="B36" s="7"/>
      <c r="C36" s="7"/>
      <c r="D36" s="7"/>
      <c r="E36" s="6"/>
      <c r="F36" s="8">
        <v>0</v>
      </c>
      <c r="G36" s="12">
        <v>0</v>
      </c>
      <c r="H36" s="22">
        <f>I36/'BCIS Smmary'!$L$6</f>
        <v>0</v>
      </c>
      <c r="I36" s="23">
        <f t="shared" si="0"/>
        <v>0</v>
      </c>
    </row>
    <row r="37" spans="1:9" ht="12.75">
      <c r="A37" s="9"/>
      <c r="B37" s="7"/>
      <c r="C37" s="7"/>
      <c r="D37" s="7"/>
      <c r="E37" s="6"/>
      <c r="F37" s="8">
        <v>0</v>
      </c>
      <c r="G37" s="12">
        <v>0</v>
      </c>
      <c r="H37" s="22">
        <f>I37/'BCIS Smmary'!$L$6</f>
        <v>0</v>
      </c>
      <c r="I37" s="23">
        <f t="shared" si="0"/>
        <v>0</v>
      </c>
    </row>
    <row r="38" spans="1:9" ht="12.75">
      <c r="A38" s="9"/>
      <c r="B38" s="7"/>
      <c r="C38" s="7"/>
      <c r="D38" s="7"/>
      <c r="E38" s="6"/>
      <c r="F38" s="8">
        <v>0</v>
      </c>
      <c r="G38" s="12">
        <v>0</v>
      </c>
      <c r="H38" s="22">
        <f>I38/'BCIS Smmary'!$L$6</f>
        <v>0</v>
      </c>
      <c r="I38" s="23">
        <f t="shared" si="0"/>
        <v>0</v>
      </c>
    </row>
    <row r="39" spans="1:9" ht="12.75">
      <c r="A39" s="9"/>
      <c r="B39" s="7"/>
      <c r="C39" s="7"/>
      <c r="D39" s="7"/>
      <c r="E39" s="6"/>
      <c r="F39" s="8">
        <v>0</v>
      </c>
      <c r="G39" s="12">
        <v>0</v>
      </c>
      <c r="H39" s="22">
        <f>I39/'BCIS Smmary'!$L$6</f>
        <v>0</v>
      </c>
      <c r="I39" s="23">
        <f t="shared" si="0"/>
        <v>0</v>
      </c>
    </row>
    <row r="40" spans="1:9" ht="12.75">
      <c r="A40" s="9"/>
      <c r="B40" s="7"/>
      <c r="C40" s="7"/>
      <c r="D40" s="7"/>
      <c r="E40" s="6"/>
      <c r="F40" s="8">
        <v>0</v>
      </c>
      <c r="G40" s="12">
        <v>0</v>
      </c>
      <c r="H40" s="22">
        <f>I40/'BCIS Smmary'!$L$6</f>
        <v>0</v>
      </c>
      <c r="I40" s="23">
        <f t="shared" si="0"/>
        <v>0</v>
      </c>
    </row>
    <row r="41" spans="1:9" ht="12.75">
      <c r="A41" s="9"/>
      <c r="B41" s="7"/>
      <c r="C41" s="7"/>
      <c r="D41" s="7"/>
      <c r="E41" s="6"/>
      <c r="F41" s="8">
        <v>0</v>
      </c>
      <c r="G41" s="12">
        <v>0</v>
      </c>
      <c r="H41" s="22">
        <f>I41/'BCIS Smmary'!$L$6</f>
        <v>0</v>
      </c>
      <c r="I41" s="23">
        <f t="shared" si="0"/>
        <v>0</v>
      </c>
    </row>
    <row r="42" spans="1:9" ht="12.75">
      <c r="A42" s="9"/>
      <c r="B42" s="7"/>
      <c r="C42" s="7"/>
      <c r="D42" s="7"/>
      <c r="E42" s="6"/>
      <c r="F42" s="8">
        <v>0</v>
      </c>
      <c r="G42" s="12">
        <v>0</v>
      </c>
      <c r="H42" s="22">
        <f>I42/'BCIS Smmary'!$L$6</f>
        <v>0</v>
      </c>
      <c r="I42" s="23">
        <f t="shared" si="0"/>
        <v>0</v>
      </c>
    </row>
    <row r="43" spans="1:9" ht="12.75">
      <c r="A43" s="9"/>
      <c r="B43" s="7"/>
      <c r="C43" s="7"/>
      <c r="D43" s="7"/>
      <c r="E43" s="6"/>
      <c r="F43" s="8">
        <v>0</v>
      </c>
      <c r="G43" s="12">
        <v>0</v>
      </c>
      <c r="H43" s="22">
        <f>I43/'BCIS Smmary'!$L$6</f>
        <v>0</v>
      </c>
      <c r="I43" s="23">
        <f t="shared" si="0"/>
        <v>0</v>
      </c>
    </row>
    <row r="44" spans="1:9" ht="12.75">
      <c r="A44" s="9"/>
      <c r="B44" s="7"/>
      <c r="C44" s="7"/>
      <c r="D44" s="7"/>
      <c r="E44" s="6"/>
      <c r="F44" s="8">
        <v>0</v>
      </c>
      <c r="G44" s="12">
        <v>0</v>
      </c>
      <c r="H44" s="22">
        <f>I44/'BCIS Smmary'!$L$6</f>
        <v>0</v>
      </c>
      <c r="I44" s="23">
        <f t="shared" si="0"/>
        <v>0</v>
      </c>
    </row>
    <row r="45" spans="1:9" ht="12.75">
      <c r="A45" s="9"/>
      <c r="B45" s="7"/>
      <c r="C45" s="7"/>
      <c r="D45" s="7"/>
      <c r="E45" s="6"/>
      <c r="F45" s="8">
        <v>0</v>
      </c>
      <c r="G45" s="12">
        <v>0</v>
      </c>
      <c r="H45" s="22">
        <f>I45/'BCIS Smmary'!$L$6</f>
        <v>0</v>
      </c>
      <c r="I45" s="23">
        <f t="shared" si="0"/>
        <v>0</v>
      </c>
    </row>
    <row r="46" spans="1:9" ht="12.75">
      <c r="A46" s="9"/>
      <c r="B46" s="7"/>
      <c r="C46" s="7"/>
      <c r="D46" s="7"/>
      <c r="E46" s="6"/>
      <c r="F46" s="8">
        <v>0</v>
      </c>
      <c r="G46" s="12">
        <v>0</v>
      </c>
      <c r="H46" s="22">
        <f>I46/'BCIS Smmary'!$L$6</f>
        <v>0</v>
      </c>
      <c r="I46" s="23">
        <f t="shared" si="0"/>
        <v>0</v>
      </c>
    </row>
    <row r="47" spans="1:9" ht="12.75">
      <c r="A47" s="9"/>
      <c r="B47" s="7"/>
      <c r="C47" s="7"/>
      <c r="D47" s="7"/>
      <c r="E47" s="6"/>
      <c r="F47" s="8">
        <v>0</v>
      </c>
      <c r="G47" s="12">
        <v>0</v>
      </c>
      <c r="H47" s="22">
        <f>I47/'BCIS Smmary'!$L$6</f>
        <v>0</v>
      </c>
      <c r="I47" s="24">
        <f t="shared" si="0"/>
        <v>0</v>
      </c>
    </row>
    <row r="48" spans="1:9" ht="12.75">
      <c r="A48" s="71" t="s">
        <v>31</v>
      </c>
      <c r="B48" s="13"/>
      <c r="C48" s="13"/>
      <c r="D48" s="13"/>
      <c r="E48" s="18"/>
      <c r="F48" s="25"/>
      <c r="G48" s="25"/>
      <c r="H48" s="32">
        <f>I48/'BCIS Smmary'!$L$6</f>
        <v>37.54813581128118</v>
      </c>
      <c r="I48" s="31">
        <f>SUM(I5:I47)</f>
        <v>85219.99999999999</v>
      </c>
    </row>
    <row r="49" spans="1:10" ht="12.75">
      <c r="A49" s="72"/>
      <c r="B49" s="1"/>
      <c r="C49" s="1"/>
      <c r="D49" s="1"/>
      <c r="E49" s="1"/>
      <c r="F49" s="1"/>
      <c r="G49" s="1"/>
      <c r="H49" s="1"/>
      <c r="I49" s="1"/>
      <c r="J49" s="1"/>
    </row>
    <row r="50" spans="1:9" ht="12.75">
      <c r="A50" s="73"/>
      <c r="B50" s="1"/>
      <c r="C50" s="1"/>
      <c r="D50" s="1"/>
      <c r="E50" s="1"/>
      <c r="F50" s="1"/>
      <c r="G50" s="1"/>
      <c r="H50" s="1"/>
      <c r="I50" s="1"/>
    </row>
  </sheetData>
  <printOptions/>
  <pageMargins left="0.75" right="0.75" top="1" bottom="1" header="0.5" footer="0.5"/>
  <pageSetup horizontalDpi="300" verticalDpi="300" orientation="portrait" paperSize="9" scale="98" r:id="rId1"/>
  <headerFooter alignWithMargins="0">
    <oddFooter>&amp;L&amp;D  &amp;T&amp;C19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N51"/>
  <sheetViews>
    <sheetView workbookViewId="0" topLeftCell="A2">
      <selection activeCell="I10" sqref="I10"/>
    </sheetView>
  </sheetViews>
  <sheetFormatPr defaultColWidth="9.140625" defaultRowHeight="12.75"/>
  <cols>
    <col min="1" max="1" width="3.8515625" style="0" customWidth="1"/>
    <col min="4" max="4" width="12.140625" style="0" customWidth="1"/>
    <col min="5" max="5" width="5.7109375" style="0" customWidth="1"/>
    <col min="6" max="6" width="9.28125" style="0" bestFit="1" customWidth="1"/>
    <col min="7" max="7" width="12.28125" style="0" bestFit="1" customWidth="1"/>
    <col min="8" max="8" width="10.421875" style="0" bestFit="1" customWidth="1"/>
    <col min="9" max="9" width="13.140625" style="0" customWidth="1"/>
    <col min="10" max="10" width="10.28125" style="0" bestFit="1" customWidth="1"/>
  </cols>
  <sheetData>
    <row r="1" spans="1:9" ht="12.75">
      <c r="A1" s="84" t="s">
        <v>10</v>
      </c>
      <c r="B1" s="85"/>
      <c r="C1" s="85"/>
      <c r="D1" s="86" t="s">
        <v>32</v>
      </c>
      <c r="E1" s="85"/>
      <c r="F1" s="85"/>
      <c r="G1" s="85"/>
      <c r="H1" s="85"/>
      <c r="I1" s="87"/>
    </row>
    <row r="2" spans="1:9" ht="12.75">
      <c r="A2" s="28" t="s">
        <v>11</v>
      </c>
      <c r="B2" s="7"/>
      <c r="C2" s="7"/>
      <c r="D2" s="7"/>
      <c r="E2" s="14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4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</row>
    <row r="5" spans="1:14" ht="12.75">
      <c r="A5" s="9"/>
      <c r="B5" s="7"/>
      <c r="C5" s="7"/>
      <c r="D5" s="7"/>
      <c r="E5" s="6"/>
      <c r="F5" s="8"/>
      <c r="G5" s="12"/>
      <c r="H5" s="22"/>
      <c r="I5" s="187"/>
      <c r="J5" s="3"/>
      <c r="K5" s="1"/>
      <c r="L5" s="1"/>
      <c r="M5" s="1"/>
      <c r="N5" s="1"/>
    </row>
    <row r="6" spans="1:14" ht="12.75">
      <c r="A6" s="6"/>
      <c r="B6" s="7" t="s">
        <v>206</v>
      </c>
      <c r="C6" s="7"/>
      <c r="D6" s="88"/>
      <c r="E6" s="6"/>
      <c r="F6" s="8">
        <v>0</v>
      </c>
      <c r="G6" s="12">
        <v>0</v>
      </c>
      <c r="H6" s="22">
        <f>I6/'BCIS Smmary'!$L$6</f>
        <v>0</v>
      </c>
      <c r="I6" s="187">
        <f aca="true" t="shared" si="0" ref="I6:I44">F6*G6</f>
        <v>0</v>
      </c>
      <c r="J6" s="3"/>
      <c r="K6" s="1"/>
      <c r="L6" s="217"/>
      <c r="M6" s="1"/>
      <c r="N6" s="1"/>
    </row>
    <row r="7" spans="1:14" ht="12.75">
      <c r="A7" s="6"/>
      <c r="B7" s="33"/>
      <c r="C7" s="33"/>
      <c r="D7" s="33"/>
      <c r="E7" s="26"/>
      <c r="F7" s="38">
        <v>0</v>
      </c>
      <c r="G7" s="39">
        <v>0</v>
      </c>
      <c r="H7" s="22">
        <f>I7/'BCIS Smmary'!$L$6</f>
        <v>0</v>
      </c>
      <c r="I7" s="187">
        <f t="shared" si="0"/>
        <v>0</v>
      </c>
      <c r="J7" s="3"/>
      <c r="K7" s="1"/>
      <c r="L7" s="217"/>
      <c r="M7" s="1"/>
      <c r="N7" s="1"/>
    </row>
    <row r="8" spans="1:14" ht="12.75">
      <c r="A8" s="6"/>
      <c r="B8" s="33"/>
      <c r="C8" s="33" t="s">
        <v>207</v>
      </c>
      <c r="D8" s="33"/>
      <c r="E8" s="26" t="s">
        <v>165</v>
      </c>
      <c r="F8" s="38">
        <v>30</v>
      </c>
      <c r="G8" s="39">
        <v>1500</v>
      </c>
      <c r="H8" s="22">
        <f>I8/'BCIS Smmary'!$L$6</f>
        <v>19.827107621540172</v>
      </c>
      <c r="I8" s="187">
        <f t="shared" si="0"/>
        <v>45000</v>
      </c>
      <c r="J8" s="3"/>
      <c r="K8" s="1"/>
      <c r="L8" s="217"/>
      <c r="M8" s="1"/>
      <c r="N8" s="1"/>
    </row>
    <row r="9" spans="1:14" ht="12.75">
      <c r="A9" s="6"/>
      <c r="B9" s="33"/>
      <c r="C9" s="33" t="s">
        <v>208</v>
      </c>
      <c r="D9" s="33"/>
      <c r="E9" s="26" t="s">
        <v>165</v>
      </c>
      <c r="F9" s="38">
        <v>30</v>
      </c>
      <c r="G9" s="39">
        <v>165</v>
      </c>
      <c r="H9" s="22">
        <f>I9/'BCIS Smmary'!$L$6</f>
        <v>2.180981838369419</v>
      </c>
      <c r="I9" s="187">
        <f t="shared" si="0"/>
        <v>4950</v>
      </c>
      <c r="J9" s="3"/>
      <c r="K9" s="1"/>
      <c r="L9" s="1"/>
      <c r="M9" s="1"/>
      <c r="N9" s="1"/>
    </row>
    <row r="10" spans="1:14" ht="12.75">
      <c r="A10" s="6"/>
      <c r="B10" s="33"/>
      <c r="C10" s="33" t="s">
        <v>209</v>
      </c>
      <c r="D10" s="33"/>
      <c r="E10" s="26" t="s">
        <v>165</v>
      </c>
      <c r="F10" s="38">
        <v>30</v>
      </c>
      <c r="G10" s="39">
        <v>140</v>
      </c>
      <c r="H10" s="22">
        <f>I10/'BCIS Smmary'!$L$6</f>
        <v>1.8505300446770825</v>
      </c>
      <c r="I10" s="187">
        <f t="shared" si="0"/>
        <v>4200</v>
      </c>
      <c r="J10" s="241"/>
      <c r="K10" s="1"/>
      <c r="L10" s="187"/>
      <c r="M10" s="1"/>
      <c r="N10" s="1"/>
    </row>
    <row r="11" spans="1:14" ht="12.75">
      <c r="A11" s="6"/>
      <c r="B11" s="33"/>
      <c r="C11" s="33" t="s">
        <v>210</v>
      </c>
      <c r="D11" s="33"/>
      <c r="E11" s="26" t="s">
        <v>165</v>
      </c>
      <c r="F11" s="38">
        <v>30</v>
      </c>
      <c r="G11" s="39">
        <v>100</v>
      </c>
      <c r="H11" s="22">
        <f>I11/'BCIS Smmary'!$L$6</f>
        <v>1.3218071747693447</v>
      </c>
      <c r="I11" s="187">
        <f t="shared" si="0"/>
        <v>3000</v>
      </c>
      <c r="J11" s="241"/>
      <c r="K11" s="1"/>
      <c r="L11" s="187"/>
      <c r="M11" s="1"/>
      <c r="N11" s="1"/>
    </row>
    <row r="12" spans="1:14" ht="12.75">
      <c r="A12" s="6"/>
      <c r="B12" s="33"/>
      <c r="C12" s="33"/>
      <c r="D12" s="33"/>
      <c r="E12" s="26"/>
      <c r="F12" s="38">
        <v>0</v>
      </c>
      <c r="G12" s="39">
        <v>0</v>
      </c>
      <c r="H12" s="22">
        <f>I12/'BCIS Smmary'!$L$6</f>
        <v>0</v>
      </c>
      <c r="I12" s="187">
        <f t="shared" si="0"/>
        <v>0</v>
      </c>
      <c r="J12" s="241"/>
      <c r="K12" s="1"/>
      <c r="L12" s="187"/>
      <c r="M12" s="1"/>
      <c r="N12" s="1"/>
    </row>
    <row r="13" spans="1:14" ht="12.75">
      <c r="A13" s="6"/>
      <c r="B13" s="33" t="s">
        <v>212</v>
      </c>
      <c r="C13" s="33"/>
      <c r="D13" s="33"/>
      <c r="E13" s="26" t="s">
        <v>165</v>
      </c>
      <c r="F13" s="38">
        <v>30</v>
      </c>
      <c r="G13" s="39">
        <v>350</v>
      </c>
      <c r="H13" s="22">
        <f>I13/'BCIS Smmary'!$L$6</f>
        <v>4.626325111692706</v>
      </c>
      <c r="I13" s="187">
        <f t="shared" si="0"/>
        <v>10500</v>
      </c>
      <c r="J13" s="241"/>
      <c r="K13" s="1"/>
      <c r="L13" s="187"/>
      <c r="M13" s="1"/>
      <c r="N13" s="1"/>
    </row>
    <row r="14" spans="1:14" ht="12.75">
      <c r="A14" s="6"/>
      <c r="B14" s="33"/>
      <c r="C14" s="33"/>
      <c r="D14" s="33"/>
      <c r="E14" s="26"/>
      <c r="F14" s="38">
        <v>0</v>
      </c>
      <c r="G14" s="39">
        <v>0</v>
      </c>
      <c r="H14" s="22">
        <f>I14/'BCIS Smmary'!$L$6</f>
        <v>0</v>
      </c>
      <c r="I14" s="187">
        <f t="shared" si="0"/>
        <v>0</v>
      </c>
      <c r="J14" s="3"/>
      <c r="K14" s="1"/>
      <c r="L14" s="187"/>
      <c r="M14" s="1"/>
      <c r="N14" s="1"/>
    </row>
    <row r="15" spans="1:14" ht="12.75">
      <c r="A15" s="6"/>
      <c r="B15" s="33"/>
      <c r="C15" s="33"/>
      <c r="D15" s="33"/>
      <c r="E15" s="26"/>
      <c r="F15" s="198">
        <v>0</v>
      </c>
      <c r="G15" s="39">
        <v>0</v>
      </c>
      <c r="H15" s="22">
        <v>0</v>
      </c>
      <c r="I15" s="187">
        <v>0</v>
      </c>
      <c r="J15" s="226"/>
      <c r="K15" s="1"/>
      <c r="L15" s="187"/>
      <c r="M15" s="1"/>
      <c r="N15" s="1"/>
    </row>
    <row r="16" spans="1:14" ht="12.75">
      <c r="A16" s="6"/>
      <c r="B16" s="33"/>
      <c r="C16" s="33"/>
      <c r="D16" s="33"/>
      <c r="E16" s="26"/>
      <c r="F16" s="38">
        <v>0</v>
      </c>
      <c r="G16" s="39">
        <v>0</v>
      </c>
      <c r="H16" s="22">
        <f>I16/'BCIS Smmary'!$L$6</f>
        <v>0</v>
      </c>
      <c r="I16" s="187">
        <f t="shared" si="0"/>
        <v>0</v>
      </c>
      <c r="J16" s="3"/>
      <c r="K16" s="1"/>
      <c r="L16" s="187"/>
      <c r="M16" s="1"/>
      <c r="N16" s="1"/>
    </row>
    <row r="17" spans="1:14" ht="12.75">
      <c r="A17" s="6"/>
      <c r="B17" s="33"/>
      <c r="C17" s="33"/>
      <c r="D17" s="33"/>
      <c r="E17" s="26"/>
      <c r="F17" s="198">
        <v>0</v>
      </c>
      <c r="G17" s="39">
        <v>0</v>
      </c>
      <c r="H17" s="22">
        <v>0</v>
      </c>
      <c r="I17" s="187">
        <v>0</v>
      </c>
      <c r="J17" s="3"/>
      <c r="K17" s="1"/>
      <c r="L17" s="187"/>
      <c r="M17" s="1"/>
      <c r="N17" s="1"/>
    </row>
    <row r="18" spans="1:14" ht="12.75">
      <c r="A18" s="6"/>
      <c r="B18" s="33"/>
      <c r="C18" s="33"/>
      <c r="D18" s="33"/>
      <c r="E18" s="26"/>
      <c r="F18" s="38">
        <v>0</v>
      </c>
      <c r="G18" s="39">
        <v>0</v>
      </c>
      <c r="H18" s="22">
        <f>I18/'BCIS Smmary'!$L$6</f>
        <v>0</v>
      </c>
      <c r="I18" s="187">
        <f t="shared" si="0"/>
        <v>0</v>
      </c>
      <c r="J18" s="3"/>
      <c r="K18" s="1"/>
      <c r="L18" s="217"/>
      <c r="M18" s="1"/>
      <c r="N18" s="1"/>
    </row>
    <row r="19" spans="1:14" ht="12.75">
      <c r="A19" s="6"/>
      <c r="B19" s="33"/>
      <c r="C19" s="33"/>
      <c r="D19" s="33"/>
      <c r="E19" s="26"/>
      <c r="F19" s="198">
        <v>0</v>
      </c>
      <c r="G19" s="199">
        <v>0</v>
      </c>
      <c r="H19" s="200">
        <v>0</v>
      </c>
      <c r="I19" s="187">
        <v>0</v>
      </c>
      <c r="J19" s="226"/>
      <c r="K19" s="1"/>
      <c r="L19" s="1"/>
      <c r="M19" s="1"/>
      <c r="N19" s="1"/>
    </row>
    <row r="20" spans="1:14" ht="12.75">
      <c r="A20" s="6"/>
      <c r="B20" s="7"/>
      <c r="C20" s="7"/>
      <c r="D20" s="7"/>
      <c r="E20" s="6"/>
      <c r="F20" s="8">
        <v>0</v>
      </c>
      <c r="G20" s="12">
        <v>0</v>
      </c>
      <c r="H20" s="22">
        <f>I20/'BCIS Smmary'!$L$6</f>
        <v>0</v>
      </c>
      <c r="I20" s="187">
        <f aca="true" t="shared" si="1" ref="I20:I27">F20*G20</f>
        <v>0</v>
      </c>
      <c r="J20" s="226"/>
      <c r="K20" s="1"/>
      <c r="L20" s="1"/>
      <c r="M20" s="1"/>
      <c r="N20" s="1"/>
    </row>
    <row r="21" spans="1:14" ht="12.75">
      <c r="A21" s="6"/>
      <c r="B21" s="7"/>
      <c r="C21" s="7"/>
      <c r="D21" s="7"/>
      <c r="E21" s="6"/>
      <c r="F21" s="8">
        <v>0</v>
      </c>
      <c r="G21" s="12">
        <v>0</v>
      </c>
      <c r="H21" s="22">
        <f>I21/'BCIS Smmary'!$L$6</f>
        <v>0</v>
      </c>
      <c r="I21" s="187">
        <f t="shared" si="1"/>
        <v>0</v>
      </c>
      <c r="J21" s="3"/>
      <c r="K21" s="1"/>
      <c r="L21" s="1"/>
      <c r="M21" s="1"/>
      <c r="N21" s="1"/>
    </row>
    <row r="22" spans="1:14" ht="12.75">
      <c r="A22" s="6"/>
      <c r="B22" s="7"/>
      <c r="C22" s="7"/>
      <c r="D22" s="7"/>
      <c r="E22" s="6"/>
      <c r="F22" s="8">
        <v>0</v>
      </c>
      <c r="G22" s="12">
        <v>0</v>
      </c>
      <c r="H22" s="22">
        <f>I22/'BCIS Smmary'!$L$6</f>
        <v>0</v>
      </c>
      <c r="I22" s="187">
        <f t="shared" si="1"/>
        <v>0</v>
      </c>
      <c r="J22" s="3"/>
      <c r="K22" s="1"/>
      <c r="L22" s="217"/>
      <c r="M22" s="1"/>
      <c r="N22" s="1"/>
    </row>
    <row r="23" spans="1:14" ht="12.75">
      <c r="A23" s="6"/>
      <c r="B23" s="7"/>
      <c r="C23" s="7"/>
      <c r="D23" s="7"/>
      <c r="E23" s="6"/>
      <c r="F23" s="8">
        <v>0</v>
      </c>
      <c r="G23" s="12">
        <v>0</v>
      </c>
      <c r="H23" s="22">
        <f>I23/'BCIS Smmary'!$L$6</f>
        <v>0</v>
      </c>
      <c r="I23" s="187">
        <f t="shared" si="1"/>
        <v>0</v>
      </c>
      <c r="J23" s="3"/>
      <c r="K23" s="1"/>
      <c r="L23" s="1"/>
      <c r="M23" s="1"/>
      <c r="N23" s="1"/>
    </row>
    <row r="24" spans="1:14" ht="12.75">
      <c r="A24" s="6"/>
      <c r="B24" s="7"/>
      <c r="C24" s="7"/>
      <c r="D24" s="7"/>
      <c r="E24" s="6"/>
      <c r="F24" s="8">
        <v>0</v>
      </c>
      <c r="G24" s="12">
        <v>0</v>
      </c>
      <c r="H24" s="22">
        <f>I24/'BCIS Smmary'!$L$6</f>
        <v>0</v>
      </c>
      <c r="I24" s="187">
        <f t="shared" si="1"/>
        <v>0</v>
      </c>
      <c r="J24" s="3"/>
      <c r="K24" s="1"/>
      <c r="L24" s="217"/>
      <c r="M24" s="1"/>
      <c r="N24" s="1"/>
    </row>
    <row r="25" spans="1:14" ht="12.75">
      <c r="A25" s="6"/>
      <c r="B25" s="7"/>
      <c r="C25" s="7"/>
      <c r="D25" s="7"/>
      <c r="E25" s="6"/>
      <c r="F25" s="8">
        <v>0</v>
      </c>
      <c r="G25" s="12">
        <v>0</v>
      </c>
      <c r="H25" s="22">
        <f>I25/'BCIS Smmary'!$L$6</f>
        <v>0</v>
      </c>
      <c r="I25" s="187">
        <f t="shared" si="1"/>
        <v>0</v>
      </c>
      <c r="J25" s="3"/>
      <c r="K25" s="1"/>
      <c r="L25" s="1"/>
      <c r="M25" s="1"/>
      <c r="N25" s="1"/>
    </row>
    <row r="26" spans="1:14" ht="12.75">
      <c r="A26" s="6"/>
      <c r="B26" s="7"/>
      <c r="C26" s="7"/>
      <c r="D26" s="7"/>
      <c r="E26" s="6"/>
      <c r="F26" s="8">
        <v>0</v>
      </c>
      <c r="G26" s="12">
        <v>0</v>
      </c>
      <c r="H26" s="22">
        <f>I26/'BCIS Smmary'!$L$6</f>
        <v>0</v>
      </c>
      <c r="I26" s="187">
        <f t="shared" si="1"/>
        <v>0</v>
      </c>
      <c r="J26" s="3"/>
      <c r="K26" s="1"/>
      <c r="L26" s="217"/>
      <c r="M26" s="1"/>
      <c r="N26" s="1"/>
    </row>
    <row r="27" spans="1:14" ht="12.75">
      <c r="A27" s="6"/>
      <c r="B27" s="7"/>
      <c r="C27" s="7"/>
      <c r="D27" s="7"/>
      <c r="E27" s="6"/>
      <c r="F27" s="8">
        <v>0</v>
      </c>
      <c r="G27" s="12">
        <v>0</v>
      </c>
      <c r="H27" s="22">
        <f>I27/'BCIS Smmary'!$L$6</f>
        <v>0</v>
      </c>
      <c r="I27" s="187">
        <f t="shared" si="1"/>
        <v>0</v>
      </c>
      <c r="J27" s="3"/>
      <c r="K27" s="1"/>
      <c r="L27" s="1"/>
      <c r="M27" s="1"/>
      <c r="N27" s="1"/>
    </row>
    <row r="28" spans="1:14" ht="12.75">
      <c r="A28" s="6"/>
      <c r="B28" s="7"/>
      <c r="C28" s="7"/>
      <c r="D28" s="7"/>
      <c r="E28" s="6"/>
      <c r="F28" s="8">
        <v>0</v>
      </c>
      <c r="G28" s="12">
        <v>0</v>
      </c>
      <c r="H28" s="22">
        <f>I28/'BCIS Smmary'!$L$6</f>
        <v>0</v>
      </c>
      <c r="I28" s="187">
        <f t="shared" si="0"/>
        <v>0</v>
      </c>
      <c r="J28" s="226"/>
      <c r="K28" s="1"/>
      <c r="L28" s="1"/>
      <c r="M28" s="1"/>
      <c r="N28" s="1"/>
    </row>
    <row r="29" spans="1:14" ht="12.75">
      <c r="A29" s="6"/>
      <c r="B29" s="7"/>
      <c r="C29" s="7"/>
      <c r="D29" s="7"/>
      <c r="E29" s="6"/>
      <c r="F29" s="8">
        <v>0</v>
      </c>
      <c r="G29" s="12">
        <v>0</v>
      </c>
      <c r="H29" s="22">
        <f>I29/'BCIS Smmary'!$L$6</f>
        <v>0</v>
      </c>
      <c r="I29" s="187">
        <f t="shared" si="0"/>
        <v>0</v>
      </c>
      <c r="J29" s="3"/>
      <c r="K29" s="1"/>
      <c r="L29" s="1"/>
      <c r="M29" s="1"/>
      <c r="N29" s="1"/>
    </row>
    <row r="30" spans="1:14" ht="12.75">
      <c r="A30" s="6"/>
      <c r="B30" s="7"/>
      <c r="C30" s="7"/>
      <c r="D30" s="7"/>
      <c r="E30" s="6"/>
      <c r="F30" s="8">
        <v>0</v>
      </c>
      <c r="G30" s="12">
        <v>0</v>
      </c>
      <c r="H30" s="22">
        <f>I30/'BCIS Smmary'!$L$6</f>
        <v>0</v>
      </c>
      <c r="I30" s="187">
        <f t="shared" si="0"/>
        <v>0</v>
      </c>
      <c r="J30" s="3"/>
      <c r="K30" s="1"/>
      <c r="L30" s="1"/>
      <c r="M30" s="1"/>
      <c r="N30" s="1"/>
    </row>
    <row r="31" spans="1:14" ht="12.75">
      <c r="A31" s="6"/>
      <c r="B31" s="7"/>
      <c r="C31" s="7"/>
      <c r="D31" s="7"/>
      <c r="E31" s="6"/>
      <c r="F31" s="8">
        <v>0</v>
      </c>
      <c r="G31" s="12">
        <v>0</v>
      </c>
      <c r="H31" s="22">
        <f>I31/'BCIS Smmary'!$L$6</f>
        <v>0</v>
      </c>
      <c r="I31" s="187">
        <f t="shared" si="0"/>
        <v>0</v>
      </c>
      <c r="J31" s="3"/>
      <c r="K31" s="1"/>
      <c r="L31" s="1"/>
      <c r="M31" s="1"/>
      <c r="N31" s="1"/>
    </row>
    <row r="32" spans="1:14" ht="12.75">
      <c r="A32" s="6"/>
      <c r="B32" s="7"/>
      <c r="C32" s="7"/>
      <c r="D32" s="7"/>
      <c r="E32" s="6"/>
      <c r="F32" s="8">
        <v>0</v>
      </c>
      <c r="G32" s="12">
        <v>0</v>
      </c>
      <c r="H32" s="22">
        <f>I32/'BCIS Smmary'!$L$6</f>
        <v>0</v>
      </c>
      <c r="I32" s="187">
        <f t="shared" si="0"/>
        <v>0</v>
      </c>
      <c r="J32" s="3"/>
      <c r="K32" s="1"/>
      <c r="L32" s="1"/>
      <c r="M32" s="1"/>
      <c r="N32" s="1"/>
    </row>
    <row r="33" spans="1:14" ht="12.75">
      <c r="A33" s="6"/>
      <c r="B33" s="7"/>
      <c r="C33" s="7"/>
      <c r="D33" s="7"/>
      <c r="E33" s="6"/>
      <c r="F33" s="8">
        <v>0</v>
      </c>
      <c r="G33" s="12">
        <v>0</v>
      </c>
      <c r="H33" s="22">
        <f>I33/'BCIS Smmary'!$L$6</f>
        <v>0</v>
      </c>
      <c r="I33" s="187">
        <f t="shared" si="0"/>
        <v>0</v>
      </c>
      <c r="J33" s="3"/>
      <c r="K33" s="1"/>
      <c r="L33" s="1"/>
      <c r="M33" s="1"/>
      <c r="N33" s="1"/>
    </row>
    <row r="34" spans="1:14" ht="12.75">
      <c r="A34" s="6"/>
      <c r="B34" s="7"/>
      <c r="C34" s="7"/>
      <c r="D34" s="7"/>
      <c r="E34" s="6"/>
      <c r="F34" s="8">
        <v>0</v>
      </c>
      <c r="G34" s="12">
        <v>0</v>
      </c>
      <c r="H34" s="22">
        <f>I34/'BCIS Smmary'!$L$6</f>
        <v>0</v>
      </c>
      <c r="I34" s="187">
        <f t="shared" si="0"/>
        <v>0</v>
      </c>
      <c r="J34" s="3"/>
      <c r="K34" s="1"/>
      <c r="L34" s="1"/>
      <c r="M34" s="1"/>
      <c r="N34" s="1"/>
    </row>
    <row r="35" spans="1:14" ht="12.75">
      <c r="A35" s="6"/>
      <c r="B35" s="7"/>
      <c r="C35" s="7"/>
      <c r="D35" s="7"/>
      <c r="E35" s="6"/>
      <c r="F35" s="8">
        <v>0</v>
      </c>
      <c r="G35" s="12">
        <v>0</v>
      </c>
      <c r="H35" s="22">
        <f>I35/'BCIS Smmary'!$L$6</f>
        <v>0</v>
      </c>
      <c r="I35" s="187">
        <f t="shared" si="0"/>
        <v>0</v>
      </c>
      <c r="J35" s="3"/>
      <c r="K35" s="1"/>
      <c r="L35" s="1"/>
      <c r="M35" s="1"/>
      <c r="N35" s="1"/>
    </row>
    <row r="36" spans="1:14" ht="12.75">
      <c r="A36" s="6"/>
      <c r="B36" s="7"/>
      <c r="C36" s="7"/>
      <c r="D36" s="7"/>
      <c r="E36" s="6"/>
      <c r="F36" s="8">
        <v>0</v>
      </c>
      <c r="G36" s="12">
        <v>0</v>
      </c>
      <c r="H36" s="22">
        <f>I36/'BCIS Smmary'!$L$6</f>
        <v>0</v>
      </c>
      <c r="I36" s="187">
        <f t="shared" si="0"/>
        <v>0</v>
      </c>
      <c r="J36" s="3"/>
      <c r="K36" s="1"/>
      <c r="L36" s="1"/>
      <c r="M36" s="1"/>
      <c r="N36" s="1"/>
    </row>
    <row r="37" spans="1:14" ht="12.75">
      <c r="A37" s="6"/>
      <c r="B37" s="7"/>
      <c r="C37" s="7"/>
      <c r="D37" s="7"/>
      <c r="E37" s="6"/>
      <c r="F37" s="8">
        <v>0</v>
      </c>
      <c r="G37" s="12">
        <v>0</v>
      </c>
      <c r="H37" s="22">
        <f>I37/'BCIS Smmary'!$L$6</f>
        <v>0</v>
      </c>
      <c r="I37" s="187">
        <f t="shared" si="0"/>
        <v>0</v>
      </c>
      <c r="J37" s="3"/>
      <c r="K37" s="1"/>
      <c r="L37" s="1"/>
      <c r="M37" s="1"/>
      <c r="N37" s="1"/>
    </row>
    <row r="38" spans="1:14" ht="12.75">
      <c r="A38" s="6"/>
      <c r="B38" s="7"/>
      <c r="C38" s="7"/>
      <c r="D38" s="7"/>
      <c r="E38" s="6"/>
      <c r="F38" s="8">
        <v>0</v>
      </c>
      <c r="G38" s="12">
        <v>0</v>
      </c>
      <c r="H38" s="22">
        <f>I38/'BCIS Smmary'!$L$6</f>
        <v>0</v>
      </c>
      <c r="I38" s="187">
        <f t="shared" si="0"/>
        <v>0</v>
      </c>
      <c r="J38" s="3"/>
      <c r="K38" s="1"/>
      <c r="L38" s="1"/>
      <c r="M38" s="1"/>
      <c r="N38" s="1"/>
    </row>
    <row r="39" spans="1:14" ht="12.75">
      <c r="A39" s="6"/>
      <c r="B39" s="7"/>
      <c r="C39" s="7"/>
      <c r="D39" s="7"/>
      <c r="E39" s="6"/>
      <c r="F39" s="8">
        <v>0</v>
      </c>
      <c r="G39" s="12">
        <v>0</v>
      </c>
      <c r="H39" s="22">
        <f>I39/'BCIS Smmary'!$L$6</f>
        <v>0</v>
      </c>
      <c r="I39" s="187">
        <f t="shared" si="0"/>
        <v>0</v>
      </c>
      <c r="J39" s="3"/>
      <c r="K39" s="1"/>
      <c r="L39" s="1"/>
      <c r="M39" s="1"/>
      <c r="N39" s="1"/>
    </row>
    <row r="40" spans="1:14" ht="12.75">
      <c r="A40" s="6"/>
      <c r="B40" s="7"/>
      <c r="C40" s="7"/>
      <c r="D40" s="7"/>
      <c r="E40" s="6"/>
      <c r="F40" s="8">
        <v>0</v>
      </c>
      <c r="G40" s="12">
        <v>0</v>
      </c>
      <c r="H40" s="22">
        <f>I40/'BCIS Smmary'!$L$6</f>
        <v>0</v>
      </c>
      <c r="I40" s="187">
        <f t="shared" si="0"/>
        <v>0</v>
      </c>
      <c r="J40" s="3"/>
      <c r="K40" s="1"/>
      <c r="L40" s="1"/>
      <c r="M40" s="1"/>
      <c r="N40" s="1"/>
    </row>
    <row r="41" spans="1:14" ht="12.75">
      <c r="A41" s="6"/>
      <c r="B41" s="7"/>
      <c r="C41" s="7"/>
      <c r="D41" s="7"/>
      <c r="E41" s="6"/>
      <c r="F41" s="8">
        <v>0</v>
      </c>
      <c r="G41" s="12">
        <v>0</v>
      </c>
      <c r="H41" s="22">
        <f>I41/'BCIS Smmary'!$L$6</f>
        <v>0</v>
      </c>
      <c r="I41" s="187">
        <f t="shared" si="0"/>
        <v>0</v>
      </c>
      <c r="J41" s="3"/>
      <c r="K41" s="1"/>
      <c r="L41" s="1"/>
      <c r="M41" s="1"/>
      <c r="N41" s="1"/>
    </row>
    <row r="42" spans="1:14" ht="12.75">
      <c r="A42" s="6"/>
      <c r="B42" s="7"/>
      <c r="C42" s="7"/>
      <c r="D42" s="7"/>
      <c r="E42" s="6"/>
      <c r="F42" s="8">
        <v>0</v>
      </c>
      <c r="G42" s="12">
        <v>0</v>
      </c>
      <c r="H42" s="22">
        <f>I42/'BCIS Smmary'!$L$6</f>
        <v>0</v>
      </c>
      <c r="I42" s="187">
        <f t="shared" si="0"/>
        <v>0</v>
      </c>
      <c r="J42" s="3"/>
      <c r="K42" s="1"/>
      <c r="L42" s="1"/>
      <c r="M42" s="1"/>
      <c r="N42" s="1"/>
    </row>
    <row r="43" spans="1:14" ht="12.75">
      <c r="A43" s="6"/>
      <c r="B43" s="7"/>
      <c r="C43" s="7"/>
      <c r="D43" s="7"/>
      <c r="E43" s="6"/>
      <c r="F43" s="8">
        <v>0</v>
      </c>
      <c r="G43" s="12">
        <v>0</v>
      </c>
      <c r="H43" s="22">
        <f>I43/'BCIS Smmary'!$L$6</f>
        <v>0</v>
      </c>
      <c r="I43" s="187">
        <f t="shared" si="0"/>
        <v>0</v>
      </c>
      <c r="J43" s="3"/>
      <c r="K43" s="1"/>
      <c r="L43" s="1"/>
      <c r="M43" s="1"/>
      <c r="N43" s="1"/>
    </row>
    <row r="44" spans="1:14" ht="12.75">
      <c r="A44" s="6"/>
      <c r="B44" s="7"/>
      <c r="C44" s="7"/>
      <c r="D44" s="7"/>
      <c r="E44" s="6"/>
      <c r="F44" s="8">
        <v>0</v>
      </c>
      <c r="G44" s="12">
        <v>0</v>
      </c>
      <c r="H44" s="90">
        <f>I44/'BCIS Smmary'!$L$6</f>
        <v>0</v>
      </c>
      <c r="I44" s="187">
        <f t="shared" si="0"/>
        <v>0</v>
      </c>
      <c r="J44" s="3"/>
      <c r="K44" s="1"/>
      <c r="L44" s="1"/>
      <c r="M44" s="1"/>
      <c r="N44" s="1"/>
    </row>
    <row r="45" spans="1:14" ht="12.75">
      <c r="A45" s="6" t="s">
        <v>12</v>
      </c>
      <c r="B45" s="7"/>
      <c r="C45" s="7"/>
      <c r="D45" s="7"/>
      <c r="E45" s="6"/>
      <c r="F45" s="8"/>
      <c r="G45" s="12"/>
      <c r="H45" s="22">
        <f>I45/'BCIS Smmary'!$L$6</f>
        <v>29.806751791048722</v>
      </c>
      <c r="I45" s="239">
        <f>SUM(I5:I44)</f>
        <v>67650</v>
      </c>
      <c r="J45" s="3"/>
      <c r="K45" s="1"/>
      <c r="L45" s="1"/>
      <c r="M45" s="1"/>
      <c r="N45" s="1"/>
    </row>
    <row r="46" spans="1:14" ht="12.75">
      <c r="A46" s="6"/>
      <c r="B46" s="7"/>
      <c r="C46" s="7"/>
      <c r="D46" s="7"/>
      <c r="E46" s="6"/>
      <c r="F46" s="8"/>
      <c r="G46" s="12"/>
      <c r="H46" s="22">
        <f>I46/'BCIS Smmary'!$L$6</f>
        <v>0</v>
      </c>
      <c r="I46" s="187"/>
      <c r="J46" s="3"/>
      <c r="K46" s="1"/>
      <c r="L46" s="1"/>
      <c r="M46" s="1"/>
      <c r="N46" s="1"/>
    </row>
    <row r="47" spans="1:14" ht="12.75">
      <c r="A47" s="6" t="s">
        <v>13</v>
      </c>
      <c r="B47" s="7"/>
      <c r="C47" s="7"/>
      <c r="D47" s="89">
        <v>0.05</v>
      </c>
      <c r="E47" s="6"/>
      <c r="F47" s="8"/>
      <c r="G47" s="12"/>
      <c r="H47" s="22">
        <f>I47/'BCIS Smmary'!$L$6</f>
        <v>1.4903375895524362</v>
      </c>
      <c r="I47" s="187">
        <f>D47*I45</f>
        <v>3382.5</v>
      </c>
      <c r="J47" s="3"/>
      <c r="K47" s="1"/>
      <c r="L47" s="217"/>
      <c r="M47" s="1"/>
      <c r="N47" s="1"/>
    </row>
    <row r="48" spans="1:14" ht="12.75">
      <c r="A48" s="6"/>
      <c r="B48" s="7"/>
      <c r="C48" s="7"/>
      <c r="D48" s="7"/>
      <c r="E48" s="6"/>
      <c r="F48" s="8"/>
      <c r="G48" s="12"/>
      <c r="H48" s="22">
        <f>I48/'BCIS Smmary'!$L$6</f>
        <v>0</v>
      </c>
      <c r="I48" s="25"/>
      <c r="J48" s="3"/>
      <c r="K48" s="1"/>
      <c r="L48" s="1"/>
      <c r="M48" s="1"/>
      <c r="N48" s="1"/>
    </row>
    <row r="49" spans="1:14" ht="12.75">
      <c r="A49" s="71" t="s">
        <v>33</v>
      </c>
      <c r="B49" s="13"/>
      <c r="C49" s="13"/>
      <c r="D49" s="13"/>
      <c r="E49" s="18"/>
      <c r="F49" s="25"/>
      <c r="G49" s="24"/>
      <c r="H49" s="32">
        <f>I49/'BCIS Smmary'!$L$6</f>
        <v>31.29708938060116</v>
      </c>
      <c r="I49" s="234">
        <f>SUM(I45:I48)</f>
        <v>71032.5</v>
      </c>
      <c r="J49" s="3"/>
      <c r="K49" s="1"/>
      <c r="L49" s="217"/>
      <c r="M49" s="217"/>
      <c r="N49" s="217"/>
    </row>
    <row r="50" spans="1:14" ht="12.75">
      <c r="A50" s="3"/>
      <c r="B50" s="1"/>
      <c r="C50" s="1"/>
      <c r="D50" s="1"/>
      <c r="E50" s="1"/>
      <c r="F50" s="1"/>
      <c r="G50" s="1"/>
      <c r="H50" s="1"/>
      <c r="I50" s="1"/>
      <c r="J50" s="3"/>
      <c r="K50" s="1"/>
      <c r="L50" s="1"/>
      <c r="M50" s="217"/>
      <c r="N50" s="217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3"/>
      <c r="K51" s="1"/>
      <c r="L51" s="1"/>
      <c r="M51" s="217"/>
      <c r="N51" s="217"/>
    </row>
  </sheetData>
  <printOptions/>
  <pageMargins left="0.75" right="0.75" top="1" bottom="1" header="0.5" footer="0.5"/>
  <pageSetup horizontalDpi="300" verticalDpi="300" orientation="portrait" paperSize="9" scale="98" r:id="rId1"/>
  <headerFooter alignWithMargins="0">
    <oddFooter>&amp;L&amp;N  &amp;D&amp;C20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75" zoomScaleNormal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39" sqref="F39"/>
    </sheetView>
  </sheetViews>
  <sheetFormatPr defaultColWidth="9.140625" defaultRowHeight="12.75"/>
  <cols>
    <col min="1" max="1" width="18.8515625" style="302" customWidth="1"/>
    <col min="2" max="2" width="0" style="302" hidden="1" customWidth="1"/>
    <col min="3" max="3" width="6.57421875" style="302" customWidth="1"/>
    <col min="4" max="4" width="5.7109375" style="302" customWidth="1"/>
    <col min="5" max="5" width="12.28125" style="302" customWidth="1"/>
    <col min="6" max="6" width="20.00390625" style="302" bestFit="1" customWidth="1"/>
    <col min="7" max="7" width="8.28125" style="302" customWidth="1"/>
    <col min="8" max="8" width="9.421875" style="302" customWidth="1"/>
    <col min="9" max="9" width="11.00390625" style="302" customWidth="1"/>
    <col min="10" max="10" width="16.8515625" style="404" customWidth="1"/>
    <col min="11" max="11" width="8.00390625" style="302" customWidth="1"/>
    <col min="12" max="12" width="7.140625" style="299" hidden="1" customWidth="1"/>
    <col min="13" max="14" width="12.28125" style="300" hidden="1" customWidth="1"/>
    <col min="15" max="16" width="13.28125" style="300" hidden="1" customWidth="1"/>
    <col min="17" max="17" width="9.140625" style="301" hidden="1" customWidth="1"/>
    <col min="18" max="19" width="12.28125" style="300" hidden="1" customWidth="1"/>
    <col min="20" max="21" width="13.28125" style="300" hidden="1" customWidth="1"/>
    <col min="22" max="16384" width="12.28125" style="302" customWidth="1"/>
  </cols>
  <sheetData>
    <row r="1" spans="1:11" ht="18.75" thickBot="1">
      <c r="A1" s="293" t="s">
        <v>436</v>
      </c>
      <c r="B1" s="294"/>
      <c r="C1" s="294"/>
      <c r="D1" s="293"/>
      <c r="E1" s="293"/>
      <c r="F1" s="293"/>
      <c r="G1" s="295"/>
      <c r="H1" s="296"/>
      <c r="I1" s="297"/>
      <c r="J1" s="298"/>
      <c r="K1" s="294"/>
    </row>
    <row r="2" spans="1:21" ht="18.75" thickBot="1">
      <c r="A2" s="303"/>
      <c r="B2" s="293" t="s">
        <v>437</v>
      </c>
      <c r="C2" s="293"/>
      <c r="D2" s="293"/>
      <c r="E2" s="293"/>
      <c r="F2" s="293"/>
      <c r="G2" s="295"/>
      <c r="H2" s="296"/>
      <c r="I2" s="297"/>
      <c r="J2" s="304">
        <f>J47</f>
        <v>3959664.48</v>
      </c>
      <c r="K2" s="294"/>
      <c r="M2" s="305">
        <v>1</v>
      </c>
      <c r="N2" s="305">
        <v>2</v>
      </c>
      <c r="O2" s="305">
        <v>3</v>
      </c>
      <c r="P2" s="305">
        <v>4</v>
      </c>
      <c r="R2" s="305">
        <v>1</v>
      </c>
      <c r="S2" s="305">
        <v>2</v>
      </c>
      <c r="T2" s="305">
        <v>3</v>
      </c>
      <c r="U2" s="305">
        <v>4</v>
      </c>
    </row>
    <row r="3" spans="1:21" ht="18.75" thickBot="1">
      <c r="A3" s="296"/>
      <c r="B3" s="293"/>
      <c r="C3" s="293"/>
      <c r="D3" s="293"/>
      <c r="E3" s="293"/>
      <c r="F3" s="293"/>
      <c r="G3" s="295"/>
      <c r="H3" s="296"/>
      <c r="I3" s="297"/>
      <c r="J3" s="298"/>
      <c r="K3" s="294"/>
      <c r="M3" s="305">
        <v>12</v>
      </c>
      <c r="N3" s="305">
        <v>7</v>
      </c>
      <c r="O3" s="305">
        <v>12</v>
      </c>
      <c r="P3" s="305">
        <v>1</v>
      </c>
      <c r="Q3" s="306">
        <f>SUM(M3:P3)</f>
        <v>32</v>
      </c>
      <c r="R3" s="305">
        <v>12</v>
      </c>
      <c r="S3" s="305">
        <v>7</v>
      </c>
      <c r="T3" s="305">
        <v>12</v>
      </c>
      <c r="U3" s="305">
        <v>1</v>
      </c>
    </row>
    <row r="4" spans="1:21" ht="142.5" thickTop="1">
      <c r="A4" s="307" t="s">
        <v>438</v>
      </c>
      <c r="B4" s="308" t="s">
        <v>439</v>
      </c>
      <c r="C4" s="308" t="s">
        <v>440</v>
      </c>
      <c r="D4" s="308" t="s">
        <v>441</v>
      </c>
      <c r="E4" s="308" t="s">
        <v>442</v>
      </c>
      <c r="F4" s="309" t="s">
        <v>443</v>
      </c>
      <c r="G4" s="310" t="s">
        <v>444</v>
      </c>
      <c r="H4" s="308" t="s">
        <v>445</v>
      </c>
      <c r="I4" s="308" t="s">
        <v>446</v>
      </c>
      <c r="J4" s="311" t="s">
        <v>447</v>
      </c>
      <c r="K4" s="294"/>
      <c r="L4" s="312" t="s">
        <v>448</v>
      </c>
      <c r="M4" s="313" t="s">
        <v>449</v>
      </c>
      <c r="N4" s="313" t="s">
        <v>450</v>
      </c>
      <c r="O4" s="313" t="s">
        <v>451</v>
      </c>
      <c r="P4" s="313" t="s">
        <v>301</v>
      </c>
      <c r="R4" s="313" t="s">
        <v>449</v>
      </c>
      <c r="S4" s="313" t="s">
        <v>450</v>
      </c>
      <c r="T4" s="313" t="s">
        <v>451</v>
      </c>
      <c r="U4" s="313" t="s">
        <v>301</v>
      </c>
    </row>
    <row r="5" spans="1:21" ht="15.75">
      <c r="A5" s="438" t="s">
        <v>452</v>
      </c>
      <c r="B5" s="314" t="s">
        <v>453</v>
      </c>
      <c r="C5" s="315" t="s">
        <v>454</v>
      </c>
      <c r="D5" s="316" t="s">
        <v>8</v>
      </c>
      <c r="E5" s="317" t="s">
        <v>455</v>
      </c>
      <c r="F5" s="316" t="s">
        <v>456</v>
      </c>
      <c r="G5" s="318"/>
      <c r="H5" s="319">
        <v>51</v>
      </c>
      <c r="I5" s="320"/>
      <c r="J5" s="321">
        <f>J73</f>
        <v>35700</v>
      </c>
      <c r="K5" s="322"/>
      <c r="L5" s="323">
        <v>4</v>
      </c>
      <c r="P5" s="300">
        <f>IF($L5=4,41172.3,"")</f>
        <v>41172.3</v>
      </c>
      <c r="U5" s="300">
        <f>IF($L5=4,41172.3,"")</f>
        <v>41172.3</v>
      </c>
    </row>
    <row r="6" spans="1:20" ht="15.75">
      <c r="A6" s="439"/>
      <c r="B6" s="314">
        <v>2</v>
      </c>
      <c r="C6" s="324" t="s">
        <v>454</v>
      </c>
      <c r="D6" s="325">
        <v>1</v>
      </c>
      <c r="E6" s="326" t="s">
        <v>457</v>
      </c>
      <c r="F6" s="325" t="s">
        <v>458</v>
      </c>
      <c r="G6" s="327" t="s">
        <v>459</v>
      </c>
      <c r="H6" s="328">
        <v>93</v>
      </c>
      <c r="I6" s="329">
        <v>5</v>
      </c>
      <c r="J6" s="330">
        <f aca="true" t="shared" si="0" ref="J6:J11">(H6/$H$43)*$J$72</f>
        <v>192270.12467860905</v>
      </c>
      <c r="K6" s="294"/>
      <c r="L6" s="331">
        <v>1</v>
      </c>
      <c r="M6" s="300">
        <f aca="true" t="shared" si="1" ref="M6:M41">IF($L6=1,0,"")</f>
        <v>0</v>
      </c>
      <c r="N6" s="300">
        <f aca="true" t="shared" si="2" ref="N6:N41">IF($L6=2,2200,"")</f>
      </c>
      <c r="O6" s="300">
        <f aca="true" t="shared" si="3" ref="O6:O41">IF($L6=3,2200,"")</f>
      </c>
      <c r="R6" s="300">
        <f aca="true" t="shared" si="4" ref="R6:R41">IF($L6=1,J6,"")</f>
        <v>192270.12467860905</v>
      </c>
      <c r="S6" s="300">
        <f aca="true" t="shared" si="5" ref="S6:S41">IF($L6=2,(J6),"")</f>
      </c>
      <c r="T6" s="300">
        <f aca="true" t="shared" si="6" ref="T6:T41">IF($L6=3,(J6),"")</f>
      </c>
    </row>
    <row r="7" spans="1:20" ht="15.75">
      <c r="A7" s="439"/>
      <c r="B7" s="314">
        <v>10</v>
      </c>
      <c r="C7" s="324" t="s">
        <v>460</v>
      </c>
      <c r="D7" s="325">
        <v>2</v>
      </c>
      <c r="E7" s="332" t="s">
        <v>454</v>
      </c>
      <c r="F7" s="325" t="s">
        <v>461</v>
      </c>
      <c r="G7" s="327" t="s">
        <v>459</v>
      </c>
      <c r="H7" s="328">
        <v>64</v>
      </c>
      <c r="I7" s="329">
        <v>4</v>
      </c>
      <c r="J7" s="330">
        <f t="shared" si="0"/>
        <v>132314.92451001052</v>
      </c>
      <c r="K7" s="294"/>
      <c r="L7" s="331">
        <v>1</v>
      </c>
      <c r="M7" s="300">
        <f t="shared" si="1"/>
        <v>0</v>
      </c>
      <c r="N7" s="300">
        <f t="shared" si="2"/>
      </c>
      <c r="O7" s="300">
        <f t="shared" si="3"/>
      </c>
      <c r="R7" s="300">
        <f t="shared" si="4"/>
        <v>132314.92451001052</v>
      </c>
      <c r="S7" s="300">
        <f t="shared" si="5"/>
      </c>
      <c r="T7" s="300">
        <f t="shared" si="6"/>
      </c>
    </row>
    <row r="8" spans="1:20" ht="15.75">
      <c r="A8" s="439"/>
      <c r="B8" s="314">
        <v>15</v>
      </c>
      <c r="C8" s="324" t="s">
        <v>460</v>
      </c>
      <c r="D8" s="325">
        <v>14</v>
      </c>
      <c r="E8" s="332" t="s">
        <v>462</v>
      </c>
      <c r="F8" s="325" t="s">
        <v>461</v>
      </c>
      <c r="G8" s="327" t="s">
        <v>459</v>
      </c>
      <c r="H8" s="328">
        <v>64</v>
      </c>
      <c r="I8" s="329">
        <v>4</v>
      </c>
      <c r="J8" s="330">
        <f t="shared" si="0"/>
        <v>132314.92451001052</v>
      </c>
      <c r="K8" s="294"/>
      <c r="L8" s="331">
        <v>1</v>
      </c>
      <c r="M8" s="300">
        <f t="shared" si="1"/>
        <v>0</v>
      </c>
      <c r="N8" s="300">
        <f t="shared" si="2"/>
      </c>
      <c r="O8" s="300">
        <f t="shared" si="3"/>
      </c>
      <c r="R8" s="300">
        <f t="shared" si="4"/>
        <v>132314.92451001052</v>
      </c>
      <c r="S8" s="300">
        <f t="shared" si="5"/>
      </c>
      <c r="T8" s="300">
        <f t="shared" si="6"/>
      </c>
    </row>
    <row r="9" spans="1:20" ht="15.75">
      <c r="A9" s="439"/>
      <c r="B9" s="314">
        <v>20</v>
      </c>
      <c r="C9" s="324" t="s">
        <v>463</v>
      </c>
      <c r="D9" s="325">
        <v>15</v>
      </c>
      <c r="E9" s="332" t="s">
        <v>454</v>
      </c>
      <c r="F9" s="325" t="s">
        <v>461</v>
      </c>
      <c r="G9" s="327" t="s">
        <v>459</v>
      </c>
      <c r="H9" s="328">
        <v>64</v>
      </c>
      <c r="I9" s="329">
        <v>4</v>
      </c>
      <c r="J9" s="330">
        <f t="shared" si="0"/>
        <v>132314.92451001052</v>
      </c>
      <c r="K9" s="294"/>
      <c r="L9" s="331">
        <v>1</v>
      </c>
      <c r="M9" s="300">
        <f t="shared" si="1"/>
        <v>0</v>
      </c>
      <c r="N9" s="300">
        <f t="shared" si="2"/>
      </c>
      <c r="O9" s="300">
        <f t="shared" si="3"/>
      </c>
      <c r="R9" s="300">
        <f t="shared" si="4"/>
        <v>132314.92451001052</v>
      </c>
      <c r="S9" s="300">
        <f t="shared" si="5"/>
      </c>
      <c r="T9" s="300">
        <f t="shared" si="6"/>
      </c>
    </row>
    <row r="10" spans="1:20" ht="15.75">
      <c r="A10" s="439"/>
      <c r="B10" s="314">
        <v>25</v>
      </c>
      <c r="C10" s="324" t="s">
        <v>463</v>
      </c>
      <c r="D10" s="325">
        <v>24</v>
      </c>
      <c r="E10" s="333" t="s">
        <v>464</v>
      </c>
      <c r="F10" s="325" t="s">
        <v>458</v>
      </c>
      <c r="G10" s="327" t="s">
        <v>459</v>
      </c>
      <c r="H10" s="328">
        <v>74</v>
      </c>
      <c r="I10" s="329">
        <v>5</v>
      </c>
      <c r="J10" s="330">
        <f t="shared" si="0"/>
        <v>152989.1314646997</v>
      </c>
      <c r="K10" s="294"/>
      <c r="L10" s="331">
        <v>1</v>
      </c>
      <c r="M10" s="300">
        <f t="shared" si="1"/>
        <v>0</v>
      </c>
      <c r="N10" s="300">
        <f t="shared" si="2"/>
      </c>
      <c r="O10" s="300">
        <f t="shared" si="3"/>
      </c>
      <c r="R10" s="300">
        <f t="shared" si="4"/>
        <v>152989.1314646997</v>
      </c>
      <c r="S10" s="300">
        <f t="shared" si="5"/>
      </c>
      <c r="T10" s="300">
        <f t="shared" si="6"/>
      </c>
    </row>
    <row r="11" spans="1:20" ht="15.75">
      <c r="A11" s="440"/>
      <c r="B11" s="314">
        <v>29</v>
      </c>
      <c r="C11" s="334" t="s">
        <v>465</v>
      </c>
      <c r="D11" s="335">
        <v>25</v>
      </c>
      <c r="E11" s="336" t="s">
        <v>465</v>
      </c>
      <c r="F11" s="335" t="s">
        <v>458</v>
      </c>
      <c r="G11" s="337" t="s">
        <v>459</v>
      </c>
      <c r="H11" s="338">
        <v>73</v>
      </c>
      <c r="I11" s="339">
        <v>5</v>
      </c>
      <c r="J11" s="330">
        <f t="shared" si="0"/>
        <v>150921.7107692308</v>
      </c>
      <c r="K11" s="294"/>
      <c r="L11" s="331">
        <v>1</v>
      </c>
      <c r="M11" s="300">
        <f t="shared" si="1"/>
        <v>0</v>
      </c>
      <c r="N11" s="300">
        <f t="shared" si="2"/>
      </c>
      <c r="O11" s="300">
        <f t="shared" si="3"/>
      </c>
      <c r="R11" s="300">
        <f t="shared" si="4"/>
        <v>150921.7107692308</v>
      </c>
      <c r="S11" s="300">
        <f t="shared" si="5"/>
      </c>
      <c r="T11" s="300">
        <f t="shared" si="6"/>
      </c>
    </row>
    <row r="12" spans="1:20" ht="15.75">
      <c r="A12" s="340"/>
      <c r="B12" s="314" t="s">
        <v>8</v>
      </c>
      <c r="C12" s="341"/>
      <c r="D12" s="341"/>
      <c r="E12" s="314"/>
      <c r="F12" s="342" t="s">
        <v>8</v>
      </c>
      <c r="G12" s="343"/>
      <c r="H12" s="344"/>
      <c r="I12" s="345"/>
      <c r="J12" s="346"/>
      <c r="K12" s="294"/>
      <c r="L12" s="331"/>
      <c r="M12" s="300">
        <f t="shared" si="1"/>
      </c>
      <c r="N12" s="300">
        <f t="shared" si="2"/>
      </c>
      <c r="O12" s="300">
        <f t="shared" si="3"/>
      </c>
      <c r="R12" s="300">
        <f t="shared" si="4"/>
      </c>
      <c r="S12" s="300">
        <f t="shared" si="5"/>
      </c>
      <c r="T12" s="300">
        <f t="shared" si="6"/>
      </c>
    </row>
    <row r="13" spans="1:20" ht="15.75">
      <c r="A13" s="435" t="s">
        <v>466</v>
      </c>
      <c r="B13" s="314">
        <v>11</v>
      </c>
      <c r="C13" s="315" t="s">
        <v>460</v>
      </c>
      <c r="D13" s="316">
        <v>3</v>
      </c>
      <c r="E13" s="347" t="s">
        <v>454</v>
      </c>
      <c r="F13" s="315" t="s">
        <v>461</v>
      </c>
      <c r="G13" s="318" t="s">
        <v>450</v>
      </c>
      <c r="H13" s="319">
        <v>65</v>
      </c>
      <c r="I13" s="348">
        <v>4</v>
      </c>
      <c r="J13" s="330">
        <f>(H13/$H$43)*$J$72</f>
        <v>134382.34520547945</v>
      </c>
      <c r="K13" s="294"/>
      <c r="L13" s="331">
        <f>N2</f>
        <v>2</v>
      </c>
      <c r="M13" s="300">
        <f t="shared" si="1"/>
      </c>
      <c r="N13" s="300">
        <f t="shared" si="2"/>
        <v>2200</v>
      </c>
      <c r="O13" s="300">
        <f t="shared" si="3"/>
      </c>
      <c r="R13" s="300">
        <f t="shared" si="4"/>
      </c>
      <c r="S13" s="300">
        <f t="shared" si="5"/>
        <v>134382.34520547945</v>
      </c>
      <c r="T13" s="300">
        <f t="shared" si="6"/>
      </c>
    </row>
    <row r="14" spans="1:20" ht="15.75">
      <c r="A14" s="439"/>
      <c r="B14" s="314">
        <v>16</v>
      </c>
      <c r="C14" s="324" t="s">
        <v>460</v>
      </c>
      <c r="D14" s="325">
        <v>16</v>
      </c>
      <c r="E14" s="349" t="s">
        <v>464</v>
      </c>
      <c r="F14" s="324" t="s">
        <v>458</v>
      </c>
      <c r="G14" s="327" t="s">
        <v>459</v>
      </c>
      <c r="H14" s="328">
        <v>75</v>
      </c>
      <c r="I14" s="329">
        <v>5</v>
      </c>
      <c r="J14" s="330">
        <f>(H14/$H$43)*$J$72</f>
        <v>155056.55216016862</v>
      </c>
      <c r="K14" s="294"/>
      <c r="L14" s="331">
        <v>1</v>
      </c>
      <c r="M14" s="300">
        <f t="shared" si="1"/>
        <v>0</v>
      </c>
      <c r="N14" s="300">
        <f t="shared" si="2"/>
      </c>
      <c r="O14" s="300">
        <f t="shared" si="3"/>
      </c>
      <c r="R14" s="300">
        <f t="shared" si="4"/>
        <v>155056.55216016862</v>
      </c>
      <c r="S14" s="300">
        <f t="shared" si="5"/>
      </c>
      <c r="T14" s="300">
        <f t="shared" si="6"/>
      </c>
    </row>
    <row r="15" spans="1:20" ht="15.75">
      <c r="A15" s="439"/>
      <c r="B15" s="314">
        <v>21</v>
      </c>
      <c r="C15" s="324" t="s">
        <v>463</v>
      </c>
      <c r="D15" s="325">
        <v>17</v>
      </c>
      <c r="E15" s="349" t="s">
        <v>465</v>
      </c>
      <c r="F15" s="324" t="s">
        <v>458</v>
      </c>
      <c r="G15" s="327" t="s">
        <v>459</v>
      </c>
      <c r="H15" s="328">
        <v>75</v>
      </c>
      <c r="I15" s="329">
        <v>5</v>
      </c>
      <c r="J15" s="330">
        <f>(H15/$H$43)*$J$72</f>
        <v>155056.55216016862</v>
      </c>
      <c r="K15" s="294"/>
      <c r="L15" s="331">
        <v>1</v>
      </c>
      <c r="M15" s="300">
        <f t="shared" si="1"/>
        <v>0</v>
      </c>
      <c r="N15" s="300">
        <f t="shared" si="2"/>
      </c>
      <c r="O15" s="300">
        <f t="shared" si="3"/>
      </c>
      <c r="R15" s="300">
        <f t="shared" si="4"/>
        <v>155056.55216016862</v>
      </c>
      <c r="S15" s="300">
        <f t="shared" si="5"/>
      </c>
      <c r="T15" s="300">
        <f t="shared" si="6"/>
      </c>
    </row>
    <row r="16" spans="1:20" ht="15.75">
      <c r="A16" s="439"/>
      <c r="B16" s="314">
        <v>26</v>
      </c>
      <c r="C16" s="324" t="s">
        <v>463</v>
      </c>
      <c r="D16" s="325">
        <v>26</v>
      </c>
      <c r="E16" s="350" t="s">
        <v>467</v>
      </c>
      <c r="F16" s="324" t="s">
        <v>468</v>
      </c>
      <c r="G16" s="327" t="s">
        <v>459</v>
      </c>
      <c r="H16" s="328">
        <v>46</v>
      </c>
      <c r="I16" s="329">
        <v>3</v>
      </c>
      <c r="J16" s="330">
        <f>(H16/$H$43)*$J$72</f>
        <v>95101.35199157007</v>
      </c>
      <c r="K16" s="294"/>
      <c r="L16" s="331">
        <f>M2</f>
        <v>1</v>
      </c>
      <c r="M16" s="300">
        <f t="shared" si="1"/>
        <v>0</v>
      </c>
      <c r="N16" s="300">
        <f t="shared" si="2"/>
      </c>
      <c r="O16" s="300">
        <f t="shared" si="3"/>
      </c>
      <c r="R16" s="300">
        <f t="shared" si="4"/>
        <v>95101.35199157007</v>
      </c>
      <c r="S16" s="300">
        <f t="shared" si="5"/>
      </c>
      <c r="T16" s="300">
        <f t="shared" si="6"/>
      </c>
    </row>
    <row r="17" spans="1:20" ht="15.75">
      <c r="A17" s="440"/>
      <c r="B17" s="314">
        <v>30</v>
      </c>
      <c r="C17" s="334" t="s">
        <v>465</v>
      </c>
      <c r="D17" s="335">
        <v>27</v>
      </c>
      <c r="E17" s="351" t="s">
        <v>463</v>
      </c>
      <c r="F17" s="334" t="s">
        <v>468</v>
      </c>
      <c r="G17" s="337" t="s">
        <v>459</v>
      </c>
      <c r="H17" s="338">
        <v>45</v>
      </c>
      <c r="I17" s="339">
        <v>3</v>
      </c>
      <c r="J17" s="330">
        <f>(H17/$H$43)*$J$72</f>
        <v>93033.93129610115</v>
      </c>
      <c r="K17" s="294"/>
      <c r="L17" s="331">
        <f>M2</f>
        <v>1</v>
      </c>
      <c r="M17" s="300">
        <f t="shared" si="1"/>
        <v>0</v>
      </c>
      <c r="N17" s="300">
        <f t="shared" si="2"/>
      </c>
      <c r="O17" s="300">
        <f t="shared" si="3"/>
      </c>
      <c r="R17" s="300">
        <f t="shared" si="4"/>
        <v>93033.93129610115</v>
      </c>
      <c r="S17" s="300">
        <f t="shared" si="5"/>
      </c>
      <c r="T17" s="300">
        <f t="shared" si="6"/>
      </c>
    </row>
    <row r="18" spans="1:20" ht="15.75">
      <c r="A18" s="340"/>
      <c r="B18" s="314"/>
      <c r="C18" s="341"/>
      <c r="D18" s="341"/>
      <c r="E18" s="314"/>
      <c r="F18" s="342" t="s">
        <v>8</v>
      </c>
      <c r="G18" s="343"/>
      <c r="H18" s="344"/>
      <c r="I18" s="345"/>
      <c r="J18" s="346"/>
      <c r="K18" s="294"/>
      <c r="L18" s="331"/>
      <c r="M18" s="300">
        <f t="shared" si="1"/>
      </c>
      <c r="N18" s="300">
        <f t="shared" si="2"/>
      </c>
      <c r="O18" s="300">
        <f t="shared" si="3"/>
      </c>
      <c r="R18" s="300">
        <f t="shared" si="4"/>
      </c>
      <c r="S18" s="300">
        <f t="shared" si="5"/>
      </c>
      <c r="T18" s="300">
        <f t="shared" si="6"/>
      </c>
    </row>
    <row r="19" spans="1:20" ht="15.75">
      <c r="A19" s="435" t="s">
        <v>469</v>
      </c>
      <c r="B19" s="314">
        <v>4</v>
      </c>
      <c r="C19" s="315" t="s">
        <v>454</v>
      </c>
      <c r="D19" s="316">
        <v>4</v>
      </c>
      <c r="E19" s="352" t="s">
        <v>470</v>
      </c>
      <c r="F19" s="315" t="s">
        <v>468</v>
      </c>
      <c r="G19" s="318" t="s">
        <v>450</v>
      </c>
      <c r="H19" s="319">
        <v>51</v>
      </c>
      <c r="I19" s="348">
        <v>3</v>
      </c>
      <c r="J19" s="330">
        <f aca="true" t="shared" si="7" ref="J19:J25">(H19/$H$43)*$J$72</f>
        <v>105438.45546891465</v>
      </c>
      <c r="K19" s="294"/>
      <c r="L19" s="331">
        <f>N2</f>
        <v>2</v>
      </c>
      <c r="M19" s="300">
        <f t="shared" si="1"/>
      </c>
      <c r="N19" s="300">
        <f t="shared" si="2"/>
        <v>2200</v>
      </c>
      <c r="O19" s="300">
        <f t="shared" si="3"/>
      </c>
      <c r="R19" s="300">
        <f t="shared" si="4"/>
      </c>
      <c r="S19" s="300">
        <f t="shared" si="5"/>
        <v>105438.45546891465</v>
      </c>
      <c r="T19" s="300">
        <f t="shared" si="6"/>
      </c>
    </row>
    <row r="20" spans="1:20" ht="15.75">
      <c r="A20" s="436"/>
      <c r="B20" s="314">
        <v>5</v>
      </c>
      <c r="C20" s="324" t="s">
        <v>454</v>
      </c>
      <c r="D20" s="325">
        <v>5</v>
      </c>
      <c r="E20" s="353" t="s">
        <v>471</v>
      </c>
      <c r="F20" s="324" t="s">
        <v>468</v>
      </c>
      <c r="G20" s="327" t="s">
        <v>459</v>
      </c>
      <c r="H20" s="328">
        <v>47</v>
      </c>
      <c r="I20" s="329">
        <v>3</v>
      </c>
      <c r="J20" s="330">
        <f t="shared" si="7"/>
        <v>97168.77268703899</v>
      </c>
      <c r="K20" s="294"/>
      <c r="L20" s="331">
        <f>M2</f>
        <v>1</v>
      </c>
      <c r="M20" s="300">
        <f t="shared" si="1"/>
        <v>0</v>
      </c>
      <c r="N20" s="300">
        <f t="shared" si="2"/>
      </c>
      <c r="O20" s="300">
        <f t="shared" si="3"/>
      </c>
      <c r="R20" s="300">
        <f t="shared" si="4"/>
        <v>97168.77268703899</v>
      </c>
      <c r="S20" s="300">
        <f t="shared" si="5"/>
      </c>
      <c r="T20" s="300">
        <f t="shared" si="6"/>
      </c>
    </row>
    <row r="21" spans="1:20" ht="15.75">
      <c r="A21" s="436"/>
      <c r="B21" s="314">
        <v>12</v>
      </c>
      <c r="C21" s="324" t="s">
        <v>460</v>
      </c>
      <c r="D21" s="325">
        <v>6</v>
      </c>
      <c r="E21" s="349" t="s">
        <v>465</v>
      </c>
      <c r="F21" s="324" t="s">
        <v>458</v>
      </c>
      <c r="G21" s="327" t="s">
        <v>472</v>
      </c>
      <c r="H21" s="328">
        <v>75</v>
      </c>
      <c r="I21" s="329">
        <v>5</v>
      </c>
      <c r="J21" s="330">
        <f t="shared" si="7"/>
        <v>155056.55216016862</v>
      </c>
      <c r="K21" s="294"/>
      <c r="L21" s="331">
        <f>O2</f>
        <v>3</v>
      </c>
      <c r="M21" s="300">
        <f t="shared" si="1"/>
      </c>
      <c r="N21" s="300">
        <f t="shared" si="2"/>
      </c>
      <c r="O21" s="300">
        <f t="shared" si="3"/>
        <v>2200</v>
      </c>
      <c r="R21" s="300">
        <f t="shared" si="4"/>
      </c>
      <c r="S21" s="300">
        <f t="shared" si="5"/>
      </c>
      <c r="T21" s="300">
        <f t="shared" si="6"/>
        <v>155056.55216016862</v>
      </c>
    </row>
    <row r="22" spans="1:20" ht="15.75">
      <c r="A22" s="436"/>
      <c r="B22" s="314">
        <v>17</v>
      </c>
      <c r="C22" s="324" t="s">
        <v>460</v>
      </c>
      <c r="D22" s="325">
        <v>18</v>
      </c>
      <c r="E22" s="350" t="s">
        <v>467</v>
      </c>
      <c r="F22" s="324" t="s">
        <v>468</v>
      </c>
      <c r="G22" s="327" t="s">
        <v>459</v>
      </c>
      <c r="H22" s="328">
        <v>46</v>
      </c>
      <c r="I22" s="329">
        <v>3</v>
      </c>
      <c r="J22" s="330">
        <f t="shared" si="7"/>
        <v>95101.35199157007</v>
      </c>
      <c r="K22" s="294"/>
      <c r="L22" s="331">
        <f>M2</f>
        <v>1</v>
      </c>
      <c r="M22" s="300">
        <f t="shared" si="1"/>
        <v>0</v>
      </c>
      <c r="N22" s="300">
        <f t="shared" si="2"/>
      </c>
      <c r="O22" s="300">
        <f t="shared" si="3"/>
      </c>
      <c r="R22" s="300">
        <f t="shared" si="4"/>
        <v>95101.35199157007</v>
      </c>
      <c r="S22" s="300">
        <f t="shared" si="5"/>
      </c>
      <c r="T22" s="300">
        <f t="shared" si="6"/>
      </c>
    </row>
    <row r="23" spans="1:20" ht="15.75">
      <c r="A23" s="436"/>
      <c r="B23" s="314">
        <v>22</v>
      </c>
      <c r="C23" s="324" t="s">
        <v>463</v>
      </c>
      <c r="D23" s="325">
        <v>19</v>
      </c>
      <c r="E23" s="350" t="s">
        <v>463</v>
      </c>
      <c r="F23" s="324" t="s">
        <v>468</v>
      </c>
      <c r="G23" s="327" t="s">
        <v>450</v>
      </c>
      <c r="H23" s="328">
        <v>46</v>
      </c>
      <c r="I23" s="329">
        <v>3</v>
      </c>
      <c r="J23" s="330">
        <f t="shared" si="7"/>
        <v>95101.35199157007</v>
      </c>
      <c r="K23" s="294"/>
      <c r="L23" s="331">
        <f>N2</f>
        <v>2</v>
      </c>
      <c r="M23" s="300">
        <f t="shared" si="1"/>
      </c>
      <c r="N23" s="300">
        <f t="shared" si="2"/>
        <v>2200</v>
      </c>
      <c r="O23" s="300">
        <f t="shared" si="3"/>
      </c>
      <c r="R23" s="300">
        <f t="shared" si="4"/>
      </c>
      <c r="S23" s="300">
        <f t="shared" si="5"/>
        <v>95101.35199157007</v>
      </c>
      <c r="T23" s="300">
        <f t="shared" si="6"/>
      </c>
    </row>
    <row r="24" spans="1:20" ht="15.75">
      <c r="A24" s="436"/>
      <c r="B24" s="314">
        <v>27</v>
      </c>
      <c r="C24" s="324" t="s">
        <v>463</v>
      </c>
      <c r="D24" s="354">
        <v>28</v>
      </c>
      <c r="E24" s="355" t="s">
        <v>473</v>
      </c>
      <c r="F24" s="324" t="s">
        <v>461</v>
      </c>
      <c r="G24" s="327" t="s">
        <v>450</v>
      </c>
      <c r="H24" s="328">
        <v>62</v>
      </c>
      <c r="I24" s="329">
        <v>4</v>
      </c>
      <c r="J24" s="330">
        <f t="shared" si="7"/>
        <v>128180.08311907269</v>
      </c>
      <c r="K24" s="294"/>
      <c r="L24" s="331">
        <f>N2</f>
        <v>2</v>
      </c>
      <c r="M24" s="300">
        <f t="shared" si="1"/>
      </c>
      <c r="N24" s="300">
        <f t="shared" si="2"/>
        <v>2200</v>
      </c>
      <c r="O24" s="300">
        <f t="shared" si="3"/>
      </c>
      <c r="R24" s="300">
        <f t="shared" si="4"/>
      </c>
      <c r="S24" s="300">
        <f t="shared" si="5"/>
        <v>128180.08311907269</v>
      </c>
      <c r="T24" s="300">
        <f t="shared" si="6"/>
      </c>
    </row>
    <row r="25" spans="1:20" ht="15.75">
      <c r="A25" s="437"/>
      <c r="B25" s="314">
        <v>31</v>
      </c>
      <c r="C25" s="334" t="s">
        <v>465</v>
      </c>
      <c r="D25" s="356">
        <v>29</v>
      </c>
      <c r="E25" s="357" t="s">
        <v>473</v>
      </c>
      <c r="F25" s="334" t="s">
        <v>461</v>
      </c>
      <c r="G25" s="337" t="s">
        <v>472</v>
      </c>
      <c r="H25" s="338">
        <v>61</v>
      </c>
      <c r="I25" s="339">
        <v>4</v>
      </c>
      <c r="J25" s="330">
        <f t="shared" si="7"/>
        <v>126112.6624236038</v>
      </c>
      <c r="K25" s="294"/>
      <c r="L25" s="331">
        <v>3</v>
      </c>
      <c r="M25" s="300">
        <f t="shared" si="1"/>
      </c>
      <c r="N25" s="300">
        <f t="shared" si="2"/>
      </c>
      <c r="O25" s="300">
        <f t="shared" si="3"/>
        <v>2200</v>
      </c>
      <c r="R25" s="300">
        <f t="shared" si="4"/>
      </c>
      <c r="S25" s="300">
        <f t="shared" si="5"/>
      </c>
      <c r="T25" s="300">
        <f t="shared" si="6"/>
        <v>126112.6624236038</v>
      </c>
    </row>
    <row r="26" spans="1:20" ht="15.75">
      <c r="A26" s="340"/>
      <c r="B26" s="314" t="s">
        <v>8</v>
      </c>
      <c r="C26" s="341"/>
      <c r="D26" s="341"/>
      <c r="E26" s="314"/>
      <c r="F26" s="342" t="s">
        <v>8</v>
      </c>
      <c r="G26" s="343"/>
      <c r="H26" s="344" t="s">
        <v>8</v>
      </c>
      <c r="I26" s="345"/>
      <c r="J26" s="346"/>
      <c r="K26" s="294"/>
      <c r="L26" s="331"/>
      <c r="M26" s="300">
        <f t="shared" si="1"/>
      </c>
      <c r="N26" s="300">
        <f t="shared" si="2"/>
      </c>
      <c r="O26" s="300">
        <f t="shared" si="3"/>
      </c>
      <c r="R26" s="300">
        <f t="shared" si="4"/>
      </c>
      <c r="S26" s="300">
        <f t="shared" si="5"/>
      </c>
      <c r="T26" s="300">
        <f t="shared" si="6"/>
      </c>
    </row>
    <row r="27" spans="1:20" ht="15.75">
      <c r="A27" s="435" t="s">
        <v>474</v>
      </c>
      <c r="B27" s="314">
        <v>6</v>
      </c>
      <c r="C27" s="315" t="s">
        <v>454</v>
      </c>
      <c r="D27" s="316">
        <v>7</v>
      </c>
      <c r="E27" s="352" t="s">
        <v>470</v>
      </c>
      <c r="F27" s="315" t="s">
        <v>468</v>
      </c>
      <c r="G27" s="318" t="s">
        <v>450</v>
      </c>
      <c r="H27" s="319">
        <v>51</v>
      </c>
      <c r="I27" s="348">
        <v>3</v>
      </c>
      <c r="J27" s="330">
        <f aca="true" t="shared" si="8" ref="J27:J33">(H27/$H$43)*$J$72</f>
        <v>105438.45546891465</v>
      </c>
      <c r="K27" s="294"/>
      <c r="L27" s="331">
        <f>N2</f>
        <v>2</v>
      </c>
      <c r="M27" s="300">
        <f t="shared" si="1"/>
      </c>
      <c r="N27" s="300">
        <f t="shared" si="2"/>
        <v>2200</v>
      </c>
      <c r="O27" s="300">
        <f t="shared" si="3"/>
      </c>
      <c r="R27" s="300">
        <f t="shared" si="4"/>
      </c>
      <c r="S27" s="300">
        <f t="shared" si="5"/>
        <v>105438.45546891465</v>
      </c>
      <c r="T27" s="300">
        <f t="shared" si="6"/>
      </c>
    </row>
    <row r="28" spans="1:20" ht="15.75">
      <c r="A28" s="436"/>
      <c r="B28" s="314">
        <v>7</v>
      </c>
      <c r="C28" s="324" t="s">
        <v>454</v>
      </c>
      <c r="D28" s="325">
        <v>8</v>
      </c>
      <c r="E28" s="353" t="s">
        <v>471</v>
      </c>
      <c r="F28" s="324" t="s">
        <v>468</v>
      </c>
      <c r="G28" s="327" t="s">
        <v>472</v>
      </c>
      <c r="H28" s="328">
        <v>47</v>
      </c>
      <c r="I28" s="329">
        <v>3</v>
      </c>
      <c r="J28" s="330">
        <f t="shared" si="8"/>
        <v>97168.77268703899</v>
      </c>
      <c r="K28" s="294"/>
      <c r="L28" s="331">
        <v>3</v>
      </c>
      <c r="M28" s="300">
        <f t="shared" si="1"/>
      </c>
      <c r="N28" s="300">
        <f t="shared" si="2"/>
      </c>
      <c r="O28" s="300">
        <f t="shared" si="3"/>
        <v>2200</v>
      </c>
      <c r="R28" s="300">
        <f t="shared" si="4"/>
      </c>
      <c r="S28" s="300">
        <f t="shared" si="5"/>
      </c>
      <c r="T28" s="300">
        <f t="shared" si="6"/>
        <v>97168.77268703899</v>
      </c>
    </row>
    <row r="29" spans="1:20" ht="15.75">
      <c r="A29" s="436"/>
      <c r="B29" s="314">
        <v>13</v>
      </c>
      <c r="C29" s="324" t="s">
        <v>460</v>
      </c>
      <c r="D29" s="325">
        <v>9</v>
      </c>
      <c r="E29" s="350" t="s">
        <v>463</v>
      </c>
      <c r="F29" s="324" t="s">
        <v>468</v>
      </c>
      <c r="G29" s="327" t="s">
        <v>472</v>
      </c>
      <c r="H29" s="328">
        <v>46</v>
      </c>
      <c r="I29" s="329">
        <v>3</v>
      </c>
      <c r="J29" s="330">
        <f t="shared" si="8"/>
        <v>95101.35199157007</v>
      </c>
      <c r="K29" s="294"/>
      <c r="L29" s="331">
        <f>O2</f>
        <v>3</v>
      </c>
      <c r="M29" s="300">
        <f t="shared" si="1"/>
      </c>
      <c r="N29" s="300">
        <f t="shared" si="2"/>
      </c>
      <c r="O29" s="300">
        <f t="shared" si="3"/>
        <v>2200</v>
      </c>
      <c r="R29" s="300">
        <f t="shared" si="4"/>
      </c>
      <c r="S29" s="300">
        <f t="shared" si="5"/>
      </c>
      <c r="T29" s="300">
        <f t="shared" si="6"/>
        <v>95101.35199157007</v>
      </c>
    </row>
    <row r="30" spans="1:20" ht="15.75">
      <c r="A30" s="436"/>
      <c r="B30" s="314">
        <v>14</v>
      </c>
      <c r="C30" s="324" t="s">
        <v>460</v>
      </c>
      <c r="D30" s="325">
        <v>20</v>
      </c>
      <c r="E30" s="350" t="s">
        <v>467</v>
      </c>
      <c r="F30" s="324" t="s">
        <v>468</v>
      </c>
      <c r="G30" s="327" t="s">
        <v>450</v>
      </c>
      <c r="H30" s="328">
        <v>46</v>
      </c>
      <c r="I30" s="329">
        <v>3</v>
      </c>
      <c r="J30" s="330">
        <f t="shared" si="8"/>
        <v>95101.35199157007</v>
      </c>
      <c r="K30" s="294"/>
      <c r="L30" s="331">
        <f>N2</f>
        <v>2</v>
      </c>
      <c r="M30" s="300">
        <f t="shared" si="1"/>
      </c>
      <c r="N30" s="300">
        <f t="shared" si="2"/>
        <v>2200</v>
      </c>
      <c r="O30" s="300">
        <f t="shared" si="3"/>
      </c>
      <c r="R30" s="300">
        <f t="shared" si="4"/>
      </c>
      <c r="S30" s="300">
        <f t="shared" si="5"/>
        <v>95101.35199157007</v>
      </c>
      <c r="T30" s="300">
        <f t="shared" si="6"/>
      </c>
    </row>
    <row r="31" spans="1:20" ht="15.75">
      <c r="A31" s="436"/>
      <c r="B31" s="314">
        <v>23</v>
      </c>
      <c r="C31" s="324" t="s">
        <v>463</v>
      </c>
      <c r="D31" s="325">
        <v>21</v>
      </c>
      <c r="E31" s="350" t="s">
        <v>463</v>
      </c>
      <c r="F31" s="324" t="s">
        <v>468</v>
      </c>
      <c r="G31" s="327" t="s">
        <v>472</v>
      </c>
      <c r="H31" s="328">
        <v>46</v>
      </c>
      <c r="I31" s="329">
        <v>3</v>
      </c>
      <c r="J31" s="330">
        <f t="shared" si="8"/>
        <v>95101.35199157007</v>
      </c>
      <c r="K31" s="294"/>
      <c r="L31" s="331">
        <f>O2</f>
        <v>3</v>
      </c>
      <c r="M31" s="300">
        <f t="shared" si="1"/>
      </c>
      <c r="N31" s="300">
        <f t="shared" si="2"/>
      </c>
      <c r="O31" s="300">
        <f t="shared" si="3"/>
        <v>2200</v>
      </c>
      <c r="R31" s="300">
        <f t="shared" si="4"/>
      </c>
      <c r="S31" s="300">
        <f t="shared" si="5"/>
      </c>
      <c r="T31" s="300">
        <f t="shared" si="6"/>
        <v>95101.35199157007</v>
      </c>
    </row>
    <row r="32" spans="1:20" ht="15.75">
      <c r="A32" s="436"/>
      <c r="B32" s="314">
        <v>24</v>
      </c>
      <c r="C32" s="324" t="s">
        <v>463</v>
      </c>
      <c r="D32" s="354">
        <v>30</v>
      </c>
      <c r="E32" s="355" t="s">
        <v>462</v>
      </c>
      <c r="F32" s="324" t="s">
        <v>461</v>
      </c>
      <c r="G32" s="327" t="s">
        <v>472</v>
      </c>
      <c r="H32" s="328">
        <v>65</v>
      </c>
      <c r="I32" s="329">
        <v>4</v>
      </c>
      <c r="J32" s="330">
        <f t="shared" si="8"/>
        <v>134382.34520547945</v>
      </c>
      <c r="K32" s="294"/>
      <c r="L32" s="331">
        <v>3</v>
      </c>
      <c r="M32" s="300">
        <f t="shared" si="1"/>
      </c>
      <c r="N32" s="300">
        <f t="shared" si="2"/>
      </c>
      <c r="O32" s="300">
        <f t="shared" si="3"/>
        <v>2200</v>
      </c>
      <c r="R32" s="300">
        <f t="shared" si="4"/>
      </c>
      <c r="S32" s="300">
        <f t="shared" si="5"/>
      </c>
      <c r="T32" s="300">
        <f t="shared" si="6"/>
        <v>134382.34520547945</v>
      </c>
    </row>
    <row r="33" spans="1:20" ht="15.75">
      <c r="A33" s="437"/>
      <c r="B33" s="345"/>
      <c r="C33" s="334" t="s">
        <v>465</v>
      </c>
      <c r="D33" s="356">
        <v>31</v>
      </c>
      <c r="E33" s="357" t="s">
        <v>454</v>
      </c>
      <c r="F33" s="334" t="s">
        <v>461</v>
      </c>
      <c r="G33" s="337" t="s">
        <v>472</v>
      </c>
      <c r="H33" s="338">
        <v>64</v>
      </c>
      <c r="I33" s="339">
        <v>4</v>
      </c>
      <c r="J33" s="330">
        <f t="shared" si="8"/>
        <v>132314.92451001052</v>
      </c>
      <c r="K33" s="294"/>
      <c r="L33" s="331">
        <v>3</v>
      </c>
      <c r="M33" s="300">
        <f t="shared" si="1"/>
      </c>
      <c r="N33" s="300">
        <f t="shared" si="2"/>
      </c>
      <c r="O33" s="300">
        <f t="shared" si="3"/>
        <v>2200</v>
      </c>
      <c r="R33" s="300">
        <f t="shared" si="4"/>
      </c>
      <c r="S33" s="300">
        <f t="shared" si="5"/>
      </c>
      <c r="T33" s="300">
        <f t="shared" si="6"/>
        <v>132314.92451001052</v>
      </c>
    </row>
    <row r="34" spans="1:20" ht="15.75">
      <c r="A34" s="340"/>
      <c r="B34" s="314" t="s">
        <v>8</v>
      </c>
      <c r="C34" s="341"/>
      <c r="D34" s="341"/>
      <c r="E34" s="314"/>
      <c r="F34" s="342" t="s">
        <v>8</v>
      </c>
      <c r="G34" s="343"/>
      <c r="H34" s="344" t="s">
        <v>8</v>
      </c>
      <c r="I34" s="345"/>
      <c r="J34" s="346"/>
      <c r="K34" s="294"/>
      <c r="L34" s="331"/>
      <c r="M34" s="300">
        <f t="shared" si="1"/>
      </c>
      <c r="N34" s="300">
        <f t="shared" si="2"/>
      </c>
      <c r="O34" s="300">
        <f t="shared" si="3"/>
      </c>
      <c r="R34" s="300">
        <f t="shared" si="4"/>
      </c>
      <c r="S34" s="300">
        <f t="shared" si="5"/>
      </c>
      <c r="T34" s="300">
        <f t="shared" si="6"/>
      </c>
    </row>
    <row r="35" spans="1:20" ht="15.75">
      <c r="A35" s="435" t="s">
        <v>475</v>
      </c>
      <c r="B35" s="314">
        <v>9</v>
      </c>
      <c r="C35" s="315" t="s">
        <v>454</v>
      </c>
      <c r="D35" s="316">
        <v>10</v>
      </c>
      <c r="E35" s="358" t="s">
        <v>476</v>
      </c>
      <c r="F35" s="315" t="s">
        <v>477</v>
      </c>
      <c r="G35" s="318" t="s">
        <v>472</v>
      </c>
      <c r="H35" s="319">
        <v>89</v>
      </c>
      <c r="I35" s="348">
        <v>4</v>
      </c>
      <c r="J35" s="330">
        <f>(H35/$H$43)*$J$72</f>
        <v>184000.44189673342</v>
      </c>
      <c r="K35" s="294"/>
      <c r="L35" s="331">
        <v>3</v>
      </c>
      <c r="M35" s="300">
        <f t="shared" si="1"/>
      </c>
      <c r="N35" s="300">
        <f t="shared" si="2"/>
      </c>
      <c r="O35" s="300">
        <f t="shared" si="3"/>
        <v>2200</v>
      </c>
      <c r="R35" s="300">
        <f t="shared" si="4"/>
      </c>
      <c r="S35" s="300">
        <f t="shared" si="5"/>
      </c>
      <c r="T35" s="300">
        <f t="shared" si="6"/>
        <v>184000.44189673342</v>
      </c>
    </row>
    <row r="36" spans="1:20" ht="15.75">
      <c r="A36" s="436"/>
      <c r="B36" s="314">
        <v>19</v>
      </c>
      <c r="C36" s="324" t="s">
        <v>454</v>
      </c>
      <c r="D36" s="325">
        <v>11</v>
      </c>
      <c r="E36" s="353" t="s">
        <v>471</v>
      </c>
      <c r="F36" s="324" t="s">
        <v>468</v>
      </c>
      <c r="G36" s="327" t="s">
        <v>472</v>
      </c>
      <c r="H36" s="328">
        <v>47</v>
      </c>
      <c r="I36" s="329">
        <v>3</v>
      </c>
      <c r="J36" s="330">
        <f>(H36/$H$43)*$J$72</f>
        <v>97168.77268703899</v>
      </c>
      <c r="K36" s="294"/>
      <c r="L36" s="331">
        <v>3</v>
      </c>
      <c r="M36" s="300">
        <f t="shared" si="1"/>
      </c>
      <c r="N36" s="300">
        <f t="shared" si="2"/>
      </c>
      <c r="O36" s="300">
        <f t="shared" si="3"/>
        <v>2200</v>
      </c>
      <c r="R36" s="300">
        <f t="shared" si="4"/>
      </c>
      <c r="S36" s="300">
        <f t="shared" si="5"/>
      </c>
      <c r="T36" s="300">
        <f t="shared" si="6"/>
        <v>97168.77268703899</v>
      </c>
    </row>
    <row r="37" spans="1:20" ht="15.75">
      <c r="A37" s="436"/>
      <c r="B37" s="314"/>
      <c r="C37" s="324" t="s">
        <v>460</v>
      </c>
      <c r="D37" s="325">
        <v>12</v>
      </c>
      <c r="E37" s="350" t="s">
        <v>463</v>
      </c>
      <c r="F37" s="324" t="s">
        <v>468</v>
      </c>
      <c r="G37" s="327" t="s">
        <v>472</v>
      </c>
      <c r="H37" s="328">
        <v>46</v>
      </c>
      <c r="I37" s="329">
        <v>3</v>
      </c>
      <c r="J37" s="330">
        <f>(H37/$H$43)*$J$72</f>
        <v>95101.35199157007</v>
      </c>
      <c r="K37" s="294"/>
      <c r="L37" s="331">
        <f>O2</f>
        <v>3</v>
      </c>
      <c r="M37" s="300">
        <f t="shared" si="1"/>
      </c>
      <c r="N37" s="300">
        <f t="shared" si="2"/>
      </c>
      <c r="O37" s="300">
        <f t="shared" si="3"/>
        <v>2200</v>
      </c>
      <c r="R37" s="300">
        <f t="shared" si="4"/>
      </c>
      <c r="S37" s="300">
        <f t="shared" si="5"/>
      </c>
      <c r="T37" s="300">
        <f t="shared" si="6"/>
        <v>95101.35199157007</v>
      </c>
    </row>
    <row r="38" spans="1:20" ht="15.75">
      <c r="A38" s="436"/>
      <c r="B38" s="314"/>
      <c r="C38" s="324" t="s">
        <v>460</v>
      </c>
      <c r="D38" s="325">
        <v>22</v>
      </c>
      <c r="E38" s="359" t="s">
        <v>478</v>
      </c>
      <c r="F38" s="324" t="s">
        <v>458</v>
      </c>
      <c r="G38" s="327" t="s">
        <v>450</v>
      </c>
      <c r="H38" s="328">
        <v>75</v>
      </c>
      <c r="I38" s="329">
        <v>5</v>
      </c>
      <c r="J38" s="330">
        <f>(H38/$H$43)*$J$72</f>
        <v>155056.55216016862</v>
      </c>
      <c r="K38" s="294"/>
      <c r="L38" s="331">
        <f>N2</f>
        <v>2</v>
      </c>
      <c r="M38" s="300">
        <f t="shared" si="1"/>
      </c>
      <c r="N38" s="300">
        <f t="shared" si="2"/>
        <v>2200</v>
      </c>
      <c r="O38" s="300">
        <f t="shared" si="3"/>
      </c>
      <c r="R38" s="300">
        <f t="shared" si="4"/>
      </c>
      <c r="S38" s="300">
        <f t="shared" si="5"/>
        <v>155056.55216016862</v>
      </c>
      <c r="T38" s="300">
        <f t="shared" si="6"/>
      </c>
    </row>
    <row r="39" spans="1:20" ht="15.75">
      <c r="A39" s="437"/>
      <c r="B39" s="314"/>
      <c r="C39" s="334" t="s">
        <v>463</v>
      </c>
      <c r="D39" s="335">
        <v>23</v>
      </c>
      <c r="E39" s="360" t="s">
        <v>460</v>
      </c>
      <c r="F39" s="334" t="s">
        <v>458</v>
      </c>
      <c r="G39" s="337" t="s">
        <v>472</v>
      </c>
      <c r="H39" s="338">
        <v>75</v>
      </c>
      <c r="I39" s="339">
        <v>5</v>
      </c>
      <c r="J39" s="330">
        <f>(H39/$H$43)*$J$72</f>
        <v>155056.55216016862</v>
      </c>
      <c r="K39" s="294"/>
      <c r="L39" s="331">
        <f>O2</f>
        <v>3</v>
      </c>
      <c r="M39" s="300">
        <f t="shared" si="1"/>
      </c>
      <c r="N39" s="300">
        <f t="shared" si="2"/>
      </c>
      <c r="O39" s="300">
        <f t="shared" si="3"/>
        <v>2200</v>
      </c>
      <c r="R39" s="300">
        <f t="shared" si="4"/>
      </c>
      <c r="S39" s="300">
        <f t="shared" si="5"/>
      </c>
      <c r="T39" s="300">
        <f t="shared" si="6"/>
        <v>155056.55216016862</v>
      </c>
    </row>
    <row r="40" spans="1:20" ht="15.75">
      <c r="A40" s="361"/>
      <c r="B40" s="314"/>
      <c r="C40" s="341"/>
      <c r="D40" s="341"/>
      <c r="E40" s="314"/>
      <c r="F40" s="342"/>
      <c r="G40" s="343"/>
      <c r="H40" s="344"/>
      <c r="I40" s="345"/>
      <c r="J40" s="346"/>
      <c r="K40" s="294"/>
      <c r="L40" s="331"/>
      <c r="M40" s="300">
        <f t="shared" si="1"/>
      </c>
      <c r="N40" s="300">
        <f t="shared" si="2"/>
      </c>
      <c r="O40" s="300">
        <f t="shared" si="3"/>
      </c>
      <c r="R40" s="300">
        <f t="shared" si="4"/>
      </c>
      <c r="S40" s="300">
        <f t="shared" si="5"/>
      </c>
      <c r="T40" s="300">
        <f t="shared" si="6"/>
      </c>
    </row>
    <row r="41" spans="1:20" ht="16.5" thickBot="1">
      <c r="A41" s="362" t="s">
        <v>479</v>
      </c>
      <c r="B41" s="314">
        <v>20</v>
      </c>
      <c r="C41" s="363" t="s">
        <v>460</v>
      </c>
      <c r="D41" s="364">
        <v>13</v>
      </c>
      <c r="E41" s="365" t="s">
        <v>460</v>
      </c>
      <c r="F41" s="366" t="s">
        <v>480</v>
      </c>
      <c r="G41" s="367" t="s">
        <v>472</v>
      </c>
      <c r="H41" s="368">
        <v>75</v>
      </c>
      <c r="I41" s="369">
        <v>5</v>
      </c>
      <c r="J41" s="370">
        <f>(H41/$H$43)*$J$72</f>
        <v>155056.55216016862</v>
      </c>
      <c r="K41" s="294"/>
      <c r="L41" s="371">
        <v>3</v>
      </c>
      <c r="M41" s="300">
        <f t="shared" si="1"/>
      </c>
      <c r="N41" s="300">
        <f t="shared" si="2"/>
      </c>
      <c r="O41" s="300">
        <f t="shared" si="3"/>
        <v>2200</v>
      </c>
      <c r="R41" s="300">
        <f t="shared" si="4"/>
      </c>
      <c r="S41" s="300">
        <f t="shared" si="5"/>
      </c>
      <c r="T41" s="300">
        <f t="shared" si="6"/>
        <v>155056.55216016862</v>
      </c>
    </row>
    <row r="42" spans="1:20" ht="16.5" thickTop="1">
      <c r="A42" s="372"/>
      <c r="B42" s="373"/>
      <c r="C42" s="374"/>
      <c r="D42" s="374"/>
      <c r="E42" s="373"/>
      <c r="F42" s="342"/>
      <c r="G42" s="375"/>
      <c r="H42" s="376"/>
      <c r="I42" s="376"/>
      <c r="J42" s="377"/>
      <c r="K42" s="294"/>
      <c r="T42" s="378"/>
    </row>
    <row r="43" spans="1:21" ht="15.75">
      <c r="A43" s="294"/>
      <c r="B43" s="314"/>
      <c r="C43" s="341"/>
      <c r="D43" s="341"/>
      <c r="E43" s="314"/>
      <c r="F43" s="379" t="s">
        <v>481</v>
      </c>
      <c r="G43" s="380" t="s">
        <v>8</v>
      </c>
      <c r="H43" s="381">
        <f>SUM(H6:H41)</f>
        <v>1898</v>
      </c>
      <c r="I43" s="382">
        <v>120</v>
      </c>
      <c r="J43" s="383">
        <f>SUM(J5:J41)</f>
        <v>3959664.4799999986</v>
      </c>
      <c r="K43" s="294"/>
      <c r="L43" s="384" t="s">
        <v>482</v>
      </c>
      <c r="M43" s="300">
        <f>SUM(M5:M41)</f>
        <v>0</v>
      </c>
      <c r="N43" s="300">
        <f>SUM(N5:N41)</f>
        <v>15400</v>
      </c>
      <c r="O43" s="300">
        <f>SUM(O5:O41)</f>
        <v>26400</v>
      </c>
      <c r="P43" s="300">
        <f>SUM(P5:P41)</f>
        <v>41172.3</v>
      </c>
      <c r="R43" s="300">
        <f>SUM(R5:R41)</f>
        <v>1583644.2527291887</v>
      </c>
      <c r="S43" s="300">
        <f>SUM(S5:S41)</f>
        <v>818698.5954056903</v>
      </c>
      <c r="T43" s="300">
        <f>SUM(T5:T42)</f>
        <v>1521621.631865121</v>
      </c>
      <c r="U43" s="300">
        <f>SUM(U5:U41)</f>
        <v>41172.3</v>
      </c>
    </row>
    <row r="44" spans="1:21" ht="15">
      <c r="A44" s="294"/>
      <c r="B44" s="294"/>
      <c r="C44" s="294"/>
      <c r="D44" s="294"/>
      <c r="E44" s="294"/>
      <c r="F44" s="385" t="s">
        <v>8</v>
      </c>
      <c r="G44" s="386" t="s">
        <v>8</v>
      </c>
      <c r="H44" s="387"/>
      <c r="I44" s="388"/>
      <c r="J44" s="389"/>
      <c r="K44" s="294"/>
      <c r="L44" s="384" t="s">
        <v>483</v>
      </c>
      <c r="M44" s="390">
        <f>COUNTIF($L$5:$L$43,1)</f>
        <v>12</v>
      </c>
      <c r="N44" s="390">
        <f>COUNTIF($L$5:$L$43,2)</f>
        <v>7</v>
      </c>
      <c r="O44" s="390">
        <f>COUNTIF($L$5:$L$43,3)</f>
        <v>12</v>
      </c>
      <c r="P44" s="390">
        <f>COUNTIF($L$5:$L$43,4)</f>
        <v>1</v>
      </c>
      <c r="R44" s="390">
        <f>COUNTIF($L$5:$L$43,1)</f>
        <v>12</v>
      </c>
      <c r="S44" s="390">
        <f>COUNTIF($L$5:$L$43,2)</f>
        <v>7</v>
      </c>
      <c r="T44" s="390">
        <f>COUNTIF($L$5:$L$43,3)</f>
        <v>12</v>
      </c>
      <c r="U44" s="390">
        <f>COUNTIF($L$5:$L$43,4)</f>
        <v>1</v>
      </c>
    </row>
    <row r="45" spans="1:20" ht="15">
      <c r="A45" s="294"/>
      <c r="B45" s="294"/>
      <c r="C45" s="294"/>
      <c r="D45" s="294"/>
      <c r="E45" s="294"/>
      <c r="F45" s="294"/>
      <c r="G45" s="343"/>
      <c r="H45" s="294"/>
      <c r="I45" s="294"/>
      <c r="J45" s="298"/>
      <c r="K45" s="294"/>
      <c r="S45" s="300">
        <v>6600</v>
      </c>
      <c r="T45" s="300">
        <v>26400</v>
      </c>
    </row>
    <row r="46" spans="1:11" ht="15">
      <c r="A46" s="391" t="s">
        <v>484</v>
      </c>
      <c r="B46" s="294"/>
      <c r="C46" s="294"/>
      <c r="D46" s="294"/>
      <c r="E46" s="294"/>
      <c r="F46" s="294"/>
      <c r="G46" s="343"/>
      <c r="H46" s="294"/>
      <c r="I46" s="294"/>
      <c r="J46" s="298"/>
      <c r="K46" s="294"/>
    </row>
    <row r="47" spans="1:15" ht="15">
      <c r="A47" s="392"/>
      <c r="B47" s="393"/>
      <c r="C47" s="393"/>
      <c r="D47" s="393"/>
      <c r="E47" s="393"/>
      <c r="F47" s="393"/>
      <c r="G47" s="394"/>
      <c r="H47" s="393"/>
      <c r="I47" s="395" t="s">
        <v>485</v>
      </c>
      <c r="J47" s="396">
        <v>3959664.48</v>
      </c>
      <c r="M47" s="300">
        <f>($J$58/31)*M44</f>
        <v>95409.35442580644</v>
      </c>
      <c r="N47" s="300">
        <f>($J$58/31)*N44</f>
        <v>55655.456748387085</v>
      </c>
      <c r="O47" s="300">
        <f>($J$58/31)*O44</f>
        <v>95409.35442580644</v>
      </c>
    </row>
    <row r="48" spans="1:10" ht="15">
      <c r="A48" s="397"/>
      <c r="B48" s="294"/>
      <c r="C48" s="294"/>
      <c r="D48" s="294"/>
      <c r="E48" s="294"/>
      <c r="F48" s="294"/>
      <c r="G48" s="398"/>
      <c r="H48" s="294"/>
      <c r="I48" s="399" t="s">
        <v>486</v>
      </c>
      <c r="J48" s="400">
        <f>J5</f>
        <v>35700</v>
      </c>
    </row>
    <row r="49" spans="1:10" ht="15">
      <c r="A49" s="401"/>
      <c r="B49" s="376"/>
      <c r="C49" s="376"/>
      <c r="D49" s="376"/>
      <c r="E49" s="376"/>
      <c r="F49" s="376"/>
      <c r="G49" s="375"/>
      <c r="H49" s="376"/>
      <c r="I49" s="402" t="s">
        <v>487</v>
      </c>
      <c r="J49" s="403">
        <f>J47-J48</f>
        <v>3923964.48</v>
      </c>
    </row>
    <row r="50" spans="1:9" ht="15">
      <c r="A50" s="294"/>
      <c r="B50" s="294"/>
      <c r="C50" s="294"/>
      <c r="D50" s="294"/>
      <c r="E50" s="294"/>
      <c r="F50" s="294"/>
      <c r="G50" s="343"/>
      <c r="H50" s="294"/>
      <c r="I50" s="399"/>
    </row>
    <row r="51" spans="1:9" ht="15">
      <c r="A51" s="391" t="s">
        <v>488</v>
      </c>
      <c r="B51" s="294"/>
      <c r="C51" s="294"/>
      <c r="D51" s="294"/>
      <c r="E51" s="294"/>
      <c r="F51" s="294"/>
      <c r="G51" s="343"/>
      <c r="H51" s="294"/>
      <c r="I51" s="399"/>
    </row>
    <row r="52" spans="1:10" ht="15">
      <c r="A52" s="392"/>
      <c r="B52" s="393"/>
      <c r="C52" s="393"/>
      <c r="D52" s="393"/>
      <c r="E52" s="393"/>
      <c r="F52" s="393"/>
      <c r="G52" s="394"/>
      <c r="H52" s="393"/>
      <c r="I52" s="395" t="s">
        <v>489</v>
      </c>
      <c r="J52" s="396">
        <v>41172</v>
      </c>
    </row>
    <row r="53" spans="1:10" ht="15">
      <c r="A53" s="397"/>
      <c r="B53" s="294"/>
      <c r="C53" s="294"/>
      <c r="D53" s="294"/>
      <c r="E53" s="294"/>
      <c r="F53" s="294"/>
      <c r="G53" s="398"/>
      <c r="H53" s="294"/>
      <c r="I53" s="399" t="s">
        <v>486</v>
      </c>
      <c r="J53" s="400">
        <f>J48</f>
        <v>35700</v>
      </c>
    </row>
    <row r="54" spans="1:10" ht="15">
      <c r="A54" s="401"/>
      <c r="B54" s="376"/>
      <c r="C54" s="376"/>
      <c r="D54" s="376"/>
      <c r="E54" s="376"/>
      <c r="F54" s="376"/>
      <c r="G54" s="375"/>
      <c r="H54" s="376"/>
      <c r="I54" s="402" t="s">
        <v>490</v>
      </c>
      <c r="J54" s="403">
        <f>J52+J53</f>
        <v>76872</v>
      </c>
    </row>
    <row r="55" spans="1:9" ht="15.75" thickBot="1">
      <c r="A55" s="294"/>
      <c r="B55" s="294"/>
      <c r="C55" s="294"/>
      <c r="D55" s="294"/>
      <c r="E55" s="294"/>
      <c r="F55" s="294"/>
      <c r="G55" s="343"/>
      <c r="H55" s="294"/>
      <c r="I55" s="405"/>
    </row>
    <row r="56" spans="1:22" ht="15.75" thickBot="1">
      <c r="A56" s="294"/>
      <c r="B56" s="294"/>
      <c r="C56" s="294"/>
      <c r="D56" s="294"/>
      <c r="E56" s="294"/>
      <c r="F56" s="294"/>
      <c r="G56" s="343"/>
      <c r="H56" s="294"/>
      <c r="I56" s="399" t="s">
        <v>136</v>
      </c>
      <c r="J56" s="406">
        <f>J54+J49</f>
        <v>4000836.48</v>
      </c>
      <c r="V56" s="404"/>
    </row>
    <row r="57" spans="1:22" ht="15">
      <c r="A57" s="294"/>
      <c r="B57" s="294"/>
      <c r="C57" s="294"/>
      <c r="D57" s="294"/>
      <c r="E57" s="294"/>
      <c r="F57" s="294"/>
      <c r="G57" s="343"/>
      <c r="H57" s="294"/>
      <c r="I57" s="399"/>
      <c r="J57" s="407"/>
      <c r="V57" s="404"/>
    </row>
    <row r="58" spans="1:22" ht="15">
      <c r="A58" s="294"/>
      <c r="B58" s="294"/>
      <c r="C58" s="294"/>
      <c r="D58" s="294"/>
      <c r="E58" s="294"/>
      <c r="F58" s="294"/>
      <c r="G58" s="343"/>
      <c r="H58" s="294"/>
      <c r="I58" s="399" t="s">
        <v>491</v>
      </c>
      <c r="J58" s="408">
        <f>'[2]Main Summary'!D202</f>
        <v>246474.16559999995</v>
      </c>
      <c r="V58" s="404"/>
    </row>
    <row r="59" spans="1:22" ht="15">
      <c r="A59" s="294"/>
      <c r="B59" s="294"/>
      <c r="C59" s="294"/>
      <c r="D59" s="294"/>
      <c r="E59" s="294"/>
      <c r="F59" s="294"/>
      <c r="G59" s="343"/>
      <c r="H59" s="294"/>
      <c r="I59" s="399" t="s">
        <v>492</v>
      </c>
      <c r="J59" s="408">
        <f>'[2]Main Summary'!D203</f>
        <v>5417.37</v>
      </c>
      <c r="V59" s="404"/>
    </row>
    <row r="60" spans="1:22" ht="15">
      <c r="A60" s="294"/>
      <c r="B60" s="294"/>
      <c r="C60" s="294"/>
      <c r="D60" s="294"/>
      <c r="E60" s="294"/>
      <c r="F60" s="294"/>
      <c r="G60" s="343"/>
      <c r="H60" s="294"/>
      <c r="I60" s="399" t="s">
        <v>493</v>
      </c>
      <c r="J60" s="408">
        <f>'[2]Main Summary'!D204</f>
        <v>-4226.04</v>
      </c>
      <c r="V60" s="404"/>
    </row>
    <row r="61" spans="1:22" ht="15">
      <c r="A61" s="294"/>
      <c r="B61" s="294"/>
      <c r="C61" s="294"/>
      <c r="D61" s="294"/>
      <c r="E61" s="294"/>
      <c r="F61" s="294"/>
      <c r="G61" s="343"/>
      <c r="H61" s="294"/>
      <c r="I61" s="399" t="s">
        <v>494</v>
      </c>
      <c r="J61" s="408">
        <f>'[2]Main Summary'!D205</f>
        <v>15218.56</v>
      </c>
      <c r="V61" s="404"/>
    </row>
    <row r="62" spans="1:9" ht="15">
      <c r="A62" s="294"/>
      <c r="B62" s="294"/>
      <c r="C62" s="294"/>
      <c r="D62" s="294"/>
      <c r="E62" s="294"/>
      <c r="F62" s="294"/>
      <c r="G62" s="343"/>
      <c r="H62" s="294"/>
      <c r="I62" s="405"/>
    </row>
    <row r="63" spans="1:11" ht="15">
      <c r="A63" s="294"/>
      <c r="B63" s="294"/>
      <c r="C63" s="294"/>
      <c r="D63" s="294"/>
      <c r="E63" s="294"/>
      <c r="F63" s="294"/>
      <c r="G63" s="343"/>
      <c r="H63" s="294"/>
      <c r="I63" s="409" t="s">
        <v>449</v>
      </c>
      <c r="J63" s="410">
        <f>R43+J59+M47</f>
        <v>1684470.9771549953</v>
      </c>
      <c r="K63" s="411">
        <f>J63/$J$67</f>
        <v>0.39507068136630413</v>
      </c>
    </row>
    <row r="64" spans="1:11" ht="15">
      <c r="A64" s="294"/>
      <c r="B64" s="294"/>
      <c r="C64" s="294"/>
      <c r="D64" s="294"/>
      <c r="E64" s="294"/>
      <c r="F64" s="294"/>
      <c r="G64" s="343"/>
      <c r="H64" s="294"/>
      <c r="I64" s="412" t="s">
        <v>450</v>
      </c>
      <c r="J64" s="413">
        <f>S43+J60+N47</f>
        <v>870128.0121540773</v>
      </c>
      <c r="K64" s="411">
        <f>J64/$J$67</f>
        <v>0.20407716802471693</v>
      </c>
    </row>
    <row r="65" spans="1:11" ht="15">
      <c r="A65" s="294"/>
      <c r="B65" s="294"/>
      <c r="C65" s="294"/>
      <c r="D65" s="294"/>
      <c r="E65" s="294"/>
      <c r="F65" s="294"/>
      <c r="G65" s="343"/>
      <c r="H65" s="294"/>
      <c r="I65" s="414" t="s">
        <v>451</v>
      </c>
      <c r="J65" s="415">
        <f>T43+J61+O47</f>
        <v>1632249.5462909276</v>
      </c>
      <c r="K65" s="411">
        <f>J65/$J$67</f>
        <v>0.3828228263701701</v>
      </c>
    </row>
    <row r="66" spans="1:11" ht="15">
      <c r="A66" s="294"/>
      <c r="B66" s="294"/>
      <c r="C66" s="294"/>
      <c r="D66" s="294"/>
      <c r="E66" s="294"/>
      <c r="F66" s="294"/>
      <c r="G66" s="343"/>
      <c r="H66" s="294"/>
      <c r="I66" s="416" t="s">
        <v>301</v>
      </c>
      <c r="J66" s="403">
        <f>J54</f>
        <v>76872</v>
      </c>
      <c r="K66" s="411">
        <f>J66/$J$67</f>
        <v>0.01802932423880882</v>
      </c>
    </row>
    <row r="67" spans="1:11" ht="15">
      <c r="A67" s="294"/>
      <c r="B67" s="294"/>
      <c r="C67" s="294"/>
      <c r="D67" s="294"/>
      <c r="E67" s="294"/>
      <c r="F67" s="294"/>
      <c r="G67" s="343"/>
      <c r="H67" s="294"/>
      <c r="I67" s="405"/>
      <c r="J67" s="407">
        <f>SUM(J63:J66)</f>
        <v>4263720.5356</v>
      </c>
      <c r="K67" s="411">
        <f>SUM(K63:K66)</f>
        <v>1</v>
      </c>
    </row>
    <row r="68" spans="1:9" ht="15">
      <c r="A68" s="294"/>
      <c r="B68" s="294"/>
      <c r="C68" s="294"/>
      <c r="D68" s="294"/>
      <c r="E68" s="294"/>
      <c r="F68" s="294"/>
      <c r="G68" s="343"/>
      <c r="H68" s="294"/>
      <c r="I68" s="405"/>
    </row>
    <row r="69" spans="1:11" ht="15">
      <c r="A69" s="294"/>
      <c r="B69" s="294"/>
      <c r="C69" s="294"/>
      <c r="D69" s="294"/>
      <c r="E69" s="294"/>
      <c r="F69" s="294"/>
      <c r="G69" s="343"/>
      <c r="H69" s="294"/>
      <c r="I69" s="294"/>
      <c r="J69" s="298">
        <f>J67-J52</f>
        <v>4222548.5356</v>
      </c>
      <c r="K69" s="294"/>
    </row>
    <row r="70" spans="1:11" ht="15">
      <c r="A70" s="294"/>
      <c r="B70" s="294"/>
      <c r="C70" s="294"/>
      <c r="D70" s="294"/>
      <c r="E70" s="294"/>
      <c r="F70" s="294"/>
      <c r="G70" s="343"/>
      <c r="H70" s="294"/>
      <c r="I70" s="294"/>
      <c r="J70" s="298"/>
      <c r="K70" s="294"/>
    </row>
    <row r="71" spans="1:11" ht="15">
      <c r="A71" s="294"/>
      <c r="B71" s="294"/>
      <c r="C71" s="294"/>
      <c r="D71" s="294"/>
      <c r="E71" s="294"/>
      <c r="F71" s="294"/>
      <c r="G71" s="343"/>
      <c r="H71" s="294"/>
      <c r="I71" s="294"/>
      <c r="J71" s="298"/>
      <c r="K71" s="294"/>
    </row>
    <row r="72" spans="7:20" ht="12.75" customHeight="1" hidden="1">
      <c r="G72" s="417"/>
      <c r="I72" s="399" t="s">
        <v>495</v>
      </c>
      <c r="J72" s="404">
        <f>J2-J73</f>
        <v>3923964.48</v>
      </c>
      <c r="L72" s="418" t="s">
        <v>496</v>
      </c>
      <c r="M72" s="300">
        <f>(3+12)*2200</f>
        <v>33000</v>
      </c>
      <c r="R72" s="300">
        <f>M43</f>
        <v>0</v>
      </c>
      <c r="S72" s="300">
        <f>N43</f>
        <v>15400</v>
      </c>
      <c r="T72" s="300">
        <f>O43</f>
        <v>26400</v>
      </c>
    </row>
    <row r="73" spans="7:20" ht="12.75" customHeight="1" hidden="1">
      <c r="G73" s="417"/>
      <c r="I73" s="399" t="s">
        <v>497</v>
      </c>
      <c r="J73" s="404">
        <f>H5*700</f>
        <v>35700</v>
      </c>
      <c r="L73" s="418" t="s">
        <v>482</v>
      </c>
      <c r="M73" s="300">
        <f>M43+N43+O43</f>
        <v>41800</v>
      </c>
      <c r="R73" s="300">
        <f>R72-R45</f>
        <v>0</v>
      </c>
      <c r="S73" s="300">
        <f>S72-S45</f>
        <v>8800</v>
      </c>
      <c r="T73" s="300">
        <f>T72-T45</f>
        <v>0</v>
      </c>
    </row>
    <row r="74" spans="7:9" ht="12.75" customHeight="1" hidden="1">
      <c r="G74" s="417"/>
      <c r="I74" s="405"/>
    </row>
    <row r="75" spans="7:21" ht="12.75" customHeight="1" hidden="1">
      <c r="G75" s="417"/>
      <c r="I75" s="405"/>
      <c r="R75" s="300">
        <f>R43-R72+R73</f>
        <v>1583644.2527291887</v>
      </c>
      <c r="S75" s="300">
        <f>S43-S72+S73</f>
        <v>812098.5954056903</v>
      </c>
      <c r="T75" s="300">
        <f>T43-T72+T73</f>
        <v>1495221.631865121</v>
      </c>
      <c r="U75" s="300">
        <f>U43-U45+U73</f>
        <v>41172.3</v>
      </c>
    </row>
    <row r="76" spans="7:10" ht="12.75" customHeight="1" hidden="1">
      <c r="G76" s="417"/>
      <c r="I76" s="399" t="s">
        <v>498</v>
      </c>
      <c r="J76" s="404">
        <f>J72-M72</f>
        <v>3890964.48</v>
      </c>
    </row>
    <row r="77" spans="7:9" ht="12.75" customHeight="1" hidden="1">
      <c r="G77" s="417"/>
      <c r="I77" s="399"/>
    </row>
    <row r="78" spans="7:9" ht="12.75" customHeight="1" hidden="1">
      <c r="G78" s="417"/>
      <c r="I78" s="405"/>
    </row>
    <row r="79" spans="7:10" ht="12.75" customHeight="1" hidden="1">
      <c r="G79" s="417"/>
      <c r="I79" s="399" t="s">
        <v>499</v>
      </c>
      <c r="J79" s="404">
        <f>J76+M73</f>
        <v>3932764.48</v>
      </c>
    </row>
    <row r="80" spans="7:18" ht="12.75" customHeight="1" hidden="1">
      <c r="G80" s="417"/>
      <c r="I80" s="399" t="s">
        <v>500</v>
      </c>
      <c r="J80" s="404">
        <f>J73+P43</f>
        <v>76872.3</v>
      </c>
      <c r="R80" s="300">
        <f>(3+12)*2200</f>
        <v>33000</v>
      </c>
    </row>
    <row r="81" spans="7:18" ht="13.5" customHeight="1" hidden="1" thickBot="1">
      <c r="G81" s="417"/>
      <c r="I81" s="405"/>
      <c r="R81" s="300">
        <f>R43+S43+T43</f>
        <v>3923964.48</v>
      </c>
    </row>
    <row r="82" spans="7:10" ht="13.5" customHeight="1" hidden="1" thickBot="1">
      <c r="G82" s="417"/>
      <c r="I82" s="399" t="s">
        <v>136</v>
      </c>
      <c r="J82" s="406">
        <f>SUM(J79:J80)</f>
        <v>4009636.78</v>
      </c>
    </row>
    <row r="83" spans="7:18" ht="12.75" customHeight="1" hidden="1">
      <c r="G83" s="417"/>
      <c r="I83" s="405"/>
      <c r="R83" s="300">
        <f>R81-R80</f>
        <v>3890964.48</v>
      </c>
    </row>
    <row r="84" spans="7:11" ht="12.75" customHeight="1" hidden="1">
      <c r="G84" s="417"/>
      <c r="I84" s="409" t="s">
        <v>449</v>
      </c>
      <c r="J84" s="410">
        <f>R75</f>
        <v>1583644.2527291887</v>
      </c>
      <c r="K84" s="411">
        <f>J84/J88</f>
        <v>0.3991203117808663</v>
      </c>
    </row>
    <row r="85" spans="7:11" ht="12.75" customHeight="1" hidden="1">
      <c r="G85" s="417"/>
      <c r="I85" s="412" t="s">
        <v>450</v>
      </c>
      <c r="J85" s="413">
        <f>S75</f>
        <v>812098.5954056903</v>
      </c>
      <c r="K85" s="411">
        <f>J85/J88</f>
        <v>0.2046703633322564</v>
      </c>
    </row>
    <row r="86" spans="7:11" ht="12.75" customHeight="1" hidden="1">
      <c r="G86" s="417"/>
      <c r="I86" s="414" t="s">
        <v>451</v>
      </c>
      <c r="J86" s="415">
        <f>T75</f>
        <v>1495221.631865121</v>
      </c>
      <c r="K86" s="411">
        <f>J86/J88</f>
        <v>0.37683546848545546</v>
      </c>
    </row>
    <row r="87" spans="7:11" ht="12.75" customHeight="1" hidden="1">
      <c r="G87" s="417"/>
      <c r="I87" s="416" t="s">
        <v>301</v>
      </c>
      <c r="J87" s="403">
        <f>J80</f>
        <v>76872.3</v>
      </c>
      <c r="K87" s="411">
        <f>J87/J88</f>
        <v>0.019373856401421835</v>
      </c>
    </row>
    <row r="88" spans="7:11" ht="12.75" customHeight="1" hidden="1">
      <c r="G88" s="417"/>
      <c r="I88" s="405"/>
      <c r="J88" s="407">
        <f>SUM(J84:J87)</f>
        <v>3967836.78</v>
      </c>
      <c r="K88" s="411">
        <f>SUM(K84:K87)</f>
        <v>1</v>
      </c>
    </row>
    <row r="89" spans="7:9" ht="12.75">
      <c r="G89" s="417"/>
      <c r="I89" s="405"/>
    </row>
    <row r="90" spans="7:9" ht="12.75">
      <c r="G90" s="417"/>
      <c r="I90" s="405"/>
    </row>
    <row r="91" spans="7:9" ht="12.75">
      <c r="G91" s="417"/>
      <c r="I91" s="405"/>
    </row>
    <row r="92" spans="7:9" ht="12.75">
      <c r="G92" s="417"/>
      <c r="I92" s="405"/>
    </row>
    <row r="93" spans="7:9" ht="12.75">
      <c r="G93" s="417"/>
      <c r="I93" s="405"/>
    </row>
    <row r="94" spans="7:9" ht="12.75">
      <c r="G94" s="417"/>
      <c r="I94" s="405"/>
    </row>
    <row r="95" spans="7:9" ht="12.75">
      <c r="G95" s="417"/>
      <c r="I95" s="405"/>
    </row>
    <row r="96" spans="7:9" ht="12.75">
      <c r="G96" s="417"/>
      <c r="I96" s="405"/>
    </row>
    <row r="97" spans="7:9" ht="12.75">
      <c r="G97" s="417"/>
      <c r="I97" s="405"/>
    </row>
    <row r="98" spans="7:9" ht="12.75">
      <c r="G98" s="417"/>
      <c r="I98" s="405"/>
    </row>
    <row r="99" spans="7:9" ht="12.75">
      <c r="G99" s="417"/>
      <c r="I99" s="405"/>
    </row>
    <row r="100" spans="7:9" ht="12.75">
      <c r="G100" s="417"/>
      <c r="I100" s="405"/>
    </row>
    <row r="101" spans="7:9" ht="12.75">
      <c r="G101" s="417"/>
      <c r="I101" s="405"/>
    </row>
    <row r="102" spans="7:9" ht="12.75">
      <c r="G102" s="417"/>
      <c r="I102" s="405"/>
    </row>
    <row r="103" spans="7:9" ht="12.75">
      <c r="G103" s="417"/>
      <c r="I103" s="405"/>
    </row>
    <row r="104" spans="7:9" ht="12.75">
      <c r="G104" s="417"/>
      <c r="I104" s="405"/>
    </row>
    <row r="105" spans="7:9" ht="12.75">
      <c r="G105" s="417"/>
      <c r="I105" s="405"/>
    </row>
    <row r="106" spans="7:9" ht="12.75">
      <c r="G106" s="417"/>
      <c r="I106" s="405"/>
    </row>
    <row r="107" spans="7:9" ht="12.75">
      <c r="G107" s="417"/>
      <c r="I107" s="405"/>
    </row>
    <row r="108" spans="7:9" ht="12.75">
      <c r="G108" s="417"/>
      <c r="I108" s="405"/>
    </row>
    <row r="109" spans="7:9" ht="12.75">
      <c r="G109" s="417"/>
      <c r="I109" s="405"/>
    </row>
    <row r="110" spans="7:9" ht="12.75">
      <c r="G110" s="417"/>
      <c r="I110" s="405"/>
    </row>
    <row r="111" spans="7:9" ht="12.75">
      <c r="G111" s="417"/>
      <c r="I111" s="405"/>
    </row>
    <row r="112" spans="7:9" ht="12.75">
      <c r="G112" s="417"/>
      <c r="I112" s="405"/>
    </row>
    <row r="113" spans="7:9" ht="12.75">
      <c r="G113" s="417"/>
      <c r="I113" s="405"/>
    </row>
    <row r="114" spans="7:9" ht="12.75">
      <c r="G114" s="417"/>
      <c r="I114" s="405"/>
    </row>
    <row r="115" spans="7:9" ht="12.75">
      <c r="G115" s="417"/>
      <c r="I115" s="405"/>
    </row>
    <row r="116" spans="7:9" ht="12.75">
      <c r="G116" s="417"/>
      <c r="I116" s="405"/>
    </row>
    <row r="117" ht="12.75">
      <c r="I117" s="405"/>
    </row>
    <row r="118" ht="12.75">
      <c r="I118" s="405"/>
    </row>
  </sheetData>
  <mergeCells count="5">
    <mergeCell ref="A35:A39"/>
    <mergeCell ref="A5:A11"/>
    <mergeCell ref="A13:A17"/>
    <mergeCell ref="A19:A25"/>
    <mergeCell ref="A27:A33"/>
  </mergeCells>
  <conditionalFormatting sqref="R2:U2 M2:P2 L6:L4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83"/>
  <sheetViews>
    <sheetView workbookViewId="0" topLeftCell="D16">
      <selection activeCell="Q38" sqref="Q38"/>
    </sheetView>
  </sheetViews>
  <sheetFormatPr defaultColWidth="9.140625" defaultRowHeight="12.75"/>
  <cols>
    <col min="6" max="6" width="13.28125" style="0" customWidth="1"/>
    <col min="8" max="8" width="11.57421875" style="0" bestFit="1" customWidth="1"/>
    <col min="9" max="9" width="9.8515625" style="0" customWidth="1"/>
    <col min="10" max="10" width="10.28125" style="0" customWidth="1"/>
    <col min="11" max="12" width="11.28125" style="0" bestFit="1" customWidth="1"/>
    <col min="13" max="14" width="10.8515625" style="0" customWidth="1"/>
    <col min="15" max="15" width="9.28125" style="0" customWidth="1"/>
    <col min="16" max="16" width="9.421875" style="0" bestFit="1" customWidth="1"/>
    <col min="17" max="17" width="13.421875" style="0" bestFit="1" customWidth="1"/>
    <col min="18" max="18" width="11.7109375" style="0" customWidth="1"/>
    <col min="19" max="19" width="11.140625" style="0" customWidth="1"/>
    <col min="20" max="20" width="11.8515625" style="0" customWidth="1"/>
    <col min="23" max="23" width="11.00390625" style="0" customWidth="1"/>
    <col min="26" max="26" width="10.421875" style="0" customWidth="1"/>
    <col min="28" max="28" width="12.00390625" style="0" customWidth="1"/>
    <col min="29" max="29" width="2.421875" style="0" customWidth="1"/>
  </cols>
  <sheetData>
    <row r="2" ht="12.75">
      <c r="A2" s="2" t="s">
        <v>267</v>
      </c>
    </row>
    <row r="4" ht="12.75">
      <c r="A4" s="2" t="s">
        <v>130</v>
      </c>
    </row>
    <row r="5" ht="12.75">
      <c r="M5" s="2"/>
    </row>
    <row r="6" spans="1:18" ht="12.75">
      <c r="A6" s="2"/>
      <c r="K6" s="242"/>
      <c r="L6" s="1"/>
      <c r="M6" s="1"/>
      <c r="N6" s="1"/>
      <c r="O6" s="1"/>
      <c r="P6" s="1"/>
      <c r="Q6" s="1"/>
      <c r="R6" s="1"/>
    </row>
    <row r="7" spans="2:31" ht="12.75">
      <c r="B7" s="1"/>
      <c r="C7" s="1"/>
      <c r="D7" s="1"/>
      <c r="E7" s="1"/>
      <c r="F7" s="1"/>
      <c r="G7" s="242"/>
      <c r="H7" s="1"/>
      <c r="I7" s="1"/>
      <c r="J7" s="1"/>
      <c r="K7" s="1"/>
      <c r="L7" s="242"/>
      <c r="M7" s="1"/>
      <c r="N7" s="1"/>
      <c r="O7" s="1"/>
      <c r="P7" s="1"/>
      <c r="Q7" s="242"/>
      <c r="R7" s="1"/>
      <c r="S7" s="1"/>
      <c r="T7" s="1"/>
      <c r="U7" s="1"/>
      <c r="V7" s="242"/>
      <c r="W7" s="1"/>
      <c r="X7" s="1"/>
      <c r="Y7" s="1"/>
      <c r="Z7" s="1"/>
      <c r="AA7" s="242"/>
      <c r="AB7" s="1"/>
      <c r="AC7" s="1"/>
      <c r="AD7" s="1"/>
      <c r="AE7" s="1"/>
    </row>
    <row r="8" spans="2:31" ht="15">
      <c r="B8" s="1"/>
      <c r="C8" s="1"/>
      <c r="D8" s="1"/>
      <c r="E8" s="1"/>
      <c r="F8" s="1"/>
      <c r="G8" s="242"/>
      <c r="H8" s="1"/>
      <c r="I8" s="256"/>
      <c r="J8" s="256"/>
      <c r="K8" s="1"/>
      <c r="L8" s="242"/>
      <c r="M8" s="1"/>
      <c r="N8" s="256"/>
      <c r="O8" s="256"/>
      <c r="P8" s="1"/>
      <c r="Q8" s="242"/>
      <c r="R8" s="1"/>
      <c r="S8" s="256"/>
      <c r="T8" s="256"/>
      <c r="U8" s="1"/>
      <c r="V8" s="242"/>
      <c r="W8" s="1"/>
      <c r="X8" s="256"/>
      <c r="Y8" s="1"/>
      <c r="Z8" s="257"/>
      <c r="AA8" s="1"/>
      <c r="AB8" s="257"/>
      <c r="AC8" s="257"/>
      <c r="AD8" s="256"/>
      <c r="AE8" s="1"/>
    </row>
    <row r="9" spans="1:31" ht="15">
      <c r="A9" s="2" t="s">
        <v>131</v>
      </c>
      <c r="B9" s="1"/>
      <c r="C9" s="1"/>
      <c r="D9" s="268" t="s">
        <v>285</v>
      </c>
      <c r="E9" s="5"/>
      <c r="F9" s="259" t="s">
        <v>268</v>
      </c>
      <c r="G9" s="5"/>
      <c r="H9" s="258"/>
      <c r="J9" s="259" t="s">
        <v>306</v>
      </c>
      <c r="K9" s="5"/>
      <c r="L9" s="270"/>
      <c r="M9" s="271"/>
      <c r="N9" s="258"/>
      <c r="O9" s="257"/>
      <c r="P9" s="1"/>
      <c r="Q9" s="257" t="s">
        <v>271</v>
      </c>
      <c r="R9" s="258"/>
      <c r="S9" s="258"/>
      <c r="T9" s="257" t="s">
        <v>273</v>
      </c>
      <c r="V9" s="1"/>
      <c r="W9" s="257"/>
      <c r="X9" s="258"/>
      <c r="Y9" s="1"/>
      <c r="Z9" s="257"/>
      <c r="AA9" s="1"/>
      <c r="AB9" s="257"/>
      <c r="AC9" s="257"/>
      <c r="AD9" s="258"/>
      <c r="AE9" s="1"/>
    </row>
    <row r="10" spans="2:31" ht="12.75">
      <c r="B10" s="1"/>
      <c r="C10" s="1"/>
      <c r="D10" s="1"/>
      <c r="E10" s="1"/>
      <c r="H10" s="264" t="s">
        <v>275</v>
      </c>
      <c r="I10" s="178"/>
      <c r="J10" s="264" t="s">
        <v>276</v>
      </c>
      <c r="K10" s="178"/>
      <c r="L10" s="264" t="s">
        <v>277</v>
      </c>
      <c r="M10" s="178"/>
      <c r="N10" s="264" t="s">
        <v>278</v>
      </c>
      <c r="O10" s="5"/>
      <c r="P10" s="1"/>
      <c r="S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12.75">
      <c r="B11" s="1"/>
      <c r="C11" s="1"/>
      <c r="D11" s="213" t="s">
        <v>172</v>
      </c>
      <c r="E11" s="213" t="s">
        <v>154</v>
      </c>
      <c r="F11" s="213" t="s">
        <v>172</v>
      </c>
      <c r="G11" s="213" t="s">
        <v>154</v>
      </c>
      <c r="H11" s="213" t="s">
        <v>172</v>
      </c>
      <c r="I11" s="213" t="s">
        <v>154</v>
      </c>
      <c r="J11" s="213" t="s">
        <v>172</v>
      </c>
      <c r="K11" s="213" t="s">
        <v>154</v>
      </c>
      <c r="L11" s="213" t="s">
        <v>172</v>
      </c>
      <c r="M11" s="213" t="s">
        <v>154</v>
      </c>
      <c r="N11" s="213" t="s">
        <v>172</v>
      </c>
      <c r="O11" s="213" t="s">
        <v>154</v>
      </c>
      <c r="P11" s="183"/>
      <c r="Q11" s="213" t="s">
        <v>172</v>
      </c>
      <c r="R11" s="213" t="s">
        <v>154</v>
      </c>
      <c r="S11" s="1"/>
      <c r="T11" s="213" t="s">
        <v>274</v>
      </c>
      <c r="V11" s="183"/>
      <c r="W11" s="183"/>
      <c r="X11" s="1"/>
      <c r="Y11" s="1"/>
      <c r="Z11" s="1"/>
      <c r="AA11" s="1"/>
      <c r="AB11" s="1"/>
      <c r="AC11" s="1"/>
      <c r="AD11" s="1"/>
      <c r="AE11" s="1"/>
    </row>
    <row r="12" spans="22:31" ht="12.75">
      <c r="V12" s="183"/>
      <c r="W12" s="183"/>
      <c r="X12" s="1"/>
      <c r="Y12" s="1"/>
      <c r="Z12" s="183"/>
      <c r="AA12" s="1"/>
      <c r="AB12" s="183"/>
      <c r="AC12" s="183"/>
      <c r="AD12" s="183"/>
      <c r="AE12" s="1"/>
    </row>
    <row r="13" spans="1:31" ht="12.75">
      <c r="A13" t="s">
        <v>286</v>
      </c>
      <c r="C13" s="212" t="s">
        <v>284</v>
      </c>
      <c r="D13" s="94">
        <f>F15</f>
        <v>34.58</v>
      </c>
      <c r="E13" s="94">
        <f>G15</f>
        <v>23.81</v>
      </c>
      <c r="Q13" s="94">
        <f>D13+F13+H13+J13+L13+N13</f>
        <v>34.58</v>
      </c>
      <c r="R13" s="94">
        <f>E13+G13+I13+K13+M13+O13</f>
        <v>23.81</v>
      </c>
      <c r="V13" s="183"/>
      <c r="W13" s="183"/>
      <c r="X13" s="1"/>
      <c r="Y13" s="1"/>
      <c r="Z13" s="1"/>
      <c r="AA13" s="1"/>
      <c r="AB13" s="1"/>
      <c r="AC13" s="1"/>
      <c r="AD13" s="1"/>
      <c r="AE13" s="1"/>
    </row>
    <row r="14" spans="22:31" ht="12.75">
      <c r="V14" s="183"/>
      <c r="W14" s="183"/>
      <c r="X14" s="1"/>
      <c r="Y14" s="1"/>
      <c r="Z14" s="183"/>
      <c r="AA14" s="1"/>
      <c r="AB14" s="183"/>
      <c r="AC14" s="183"/>
      <c r="AD14" s="183"/>
      <c r="AE14" s="1"/>
    </row>
    <row r="15" spans="1:31" ht="12.75">
      <c r="A15" t="s">
        <v>37</v>
      </c>
      <c r="B15" s="1"/>
      <c r="C15" s="1"/>
      <c r="D15" s="1"/>
      <c r="E15" s="1"/>
      <c r="F15" s="183">
        <v>34.58</v>
      </c>
      <c r="G15" s="183">
        <v>23.81</v>
      </c>
      <c r="H15" s="183">
        <v>65.31</v>
      </c>
      <c r="I15" s="183">
        <v>32.67</v>
      </c>
      <c r="J15" s="183">
        <v>133.13</v>
      </c>
      <c r="K15" s="183">
        <v>47.17</v>
      </c>
      <c r="L15" s="183">
        <v>133.02</v>
      </c>
      <c r="M15" s="183">
        <v>47.12</v>
      </c>
      <c r="N15" s="183">
        <v>44.98</v>
      </c>
      <c r="O15" s="183">
        <v>27.2</v>
      </c>
      <c r="P15" s="183"/>
      <c r="Q15" s="94">
        <f>D15+F15+H15+J15+L15+N15</f>
        <v>411.02</v>
      </c>
      <c r="R15" s="94">
        <f>E15+G15+I15+K15+M15+O15</f>
        <v>177.97</v>
      </c>
      <c r="S15" s="1"/>
      <c r="T15" s="183">
        <v>23.21</v>
      </c>
      <c r="V15" s="183"/>
      <c r="W15" s="183"/>
      <c r="X15" s="1"/>
      <c r="Y15" s="1"/>
      <c r="Z15" s="1"/>
      <c r="AA15" s="1"/>
      <c r="AB15" s="1"/>
      <c r="AC15" s="1"/>
      <c r="AD15" s="1"/>
      <c r="AE15" s="1"/>
    </row>
    <row r="16" spans="2:31" ht="12.75">
      <c r="B16" s="1"/>
      <c r="C16" s="1"/>
      <c r="D16" s="1"/>
      <c r="E16" s="1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"/>
      <c r="S16" s="1"/>
      <c r="T16" s="183">
        <v>22.68</v>
      </c>
      <c r="V16" s="183"/>
      <c r="W16" s="183"/>
      <c r="X16" s="1"/>
      <c r="Y16" s="1"/>
      <c r="Z16" s="183"/>
      <c r="AA16" s="1"/>
      <c r="AB16" s="183"/>
      <c r="AC16" s="183"/>
      <c r="AD16" s="183"/>
      <c r="AE16" s="1"/>
    </row>
    <row r="17" spans="3:31" ht="12.75">
      <c r="C17" s="1"/>
      <c r="D17" s="1"/>
      <c r="E17" s="1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"/>
      <c r="S17" s="1"/>
      <c r="T17" s="178">
        <v>42.02</v>
      </c>
      <c r="V17" s="183"/>
      <c r="W17" s="183"/>
      <c r="X17" s="1"/>
      <c r="Y17" s="1"/>
      <c r="Z17" s="1"/>
      <c r="AA17" s="1"/>
      <c r="AB17" s="1"/>
      <c r="AC17" s="1"/>
      <c r="AD17" s="1"/>
      <c r="AE17" s="1"/>
    </row>
    <row r="18" spans="3:31" ht="12.75">
      <c r="C18" s="1"/>
      <c r="D18" s="1"/>
      <c r="E18" s="1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"/>
      <c r="S18" s="1"/>
      <c r="T18" s="176">
        <f>SUM(T15:T17)</f>
        <v>87.91</v>
      </c>
      <c r="V18" s="183"/>
      <c r="W18" s="183"/>
      <c r="X18" s="1"/>
      <c r="Y18" s="1"/>
      <c r="Z18" s="183"/>
      <c r="AA18" s="1"/>
      <c r="AB18" s="183"/>
      <c r="AC18" s="183"/>
      <c r="AD18" s="183"/>
      <c r="AE18" s="1"/>
    </row>
    <row r="19" spans="1:31" ht="12.75">
      <c r="A19" t="s">
        <v>38</v>
      </c>
      <c r="B19" s="1"/>
      <c r="C19" s="1"/>
      <c r="D19" s="1"/>
      <c r="E19" s="1"/>
      <c r="F19" s="183">
        <v>24.08</v>
      </c>
      <c r="G19" s="183">
        <v>31.9</v>
      </c>
      <c r="H19" s="183">
        <v>61.26</v>
      </c>
      <c r="I19" s="183">
        <v>32.6</v>
      </c>
      <c r="J19" s="183">
        <v>128.67</v>
      </c>
      <c r="K19" s="183">
        <v>48.56</v>
      </c>
      <c r="L19" s="183">
        <v>128.7</v>
      </c>
      <c r="M19" s="183">
        <v>48.66</v>
      </c>
      <c r="N19" s="183">
        <v>44.9</v>
      </c>
      <c r="O19" s="183">
        <v>27.14</v>
      </c>
      <c r="P19" s="183"/>
      <c r="Q19" s="94">
        <f>D19+F19+H19+J19+L19+N19</f>
        <v>387.60999999999996</v>
      </c>
      <c r="R19" s="94">
        <f>E19+G19+I19+K19+M19+O19</f>
        <v>188.86</v>
      </c>
      <c r="S19" s="1"/>
      <c r="T19" s="183">
        <v>17.2</v>
      </c>
      <c r="V19" s="183"/>
      <c r="W19" s="183"/>
      <c r="X19" s="1"/>
      <c r="Y19" s="1"/>
      <c r="Z19" s="1"/>
      <c r="AA19" s="1"/>
      <c r="AB19" s="1"/>
      <c r="AC19" s="1"/>
      <c r="AD19" s="1"/>
      <c r="AE19" s="1"/>
    </row>
    <row r="20" spans="2:31" ht="12.75">
      <c r="B20" s="1"/>
      <c r="C20" s="1"/>
      <c r="D20" s="1"/>
      <c r="E20" s="1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"/>
      <c r="S20" s="1"/>
      <c r="T20" s="183">
        <v>16.71</v>
      </c>
      <c r="V20" s="183"/>
      <c r="W20" s="183"/>
      <c r="X20" s="1"/>
      <c r="Y20" s="1"/>
      <c r="Z20" s="183"/>
      <c r="AA20" s="1"/>
      <c r="AB20" s="183"/>
      <c r="AC20" s="183"/>
      <c r="AD20" s="183"/>
      <c r="AE20" s="1"/>
    </row>
    <row r="21" spans="3:31" ht="12.75">
      <c r="C21" s="1"/>
      <c r="D21" s="1"/>
      <c r="E21" s="1"/>
      <c r="F21" s="183"/>
      <c r="G21" s="183"/>
      <c r="O21" s="183"/>
      <c r="P21" s="183"/>
      <c r="Q21" s="183"/>
      <c r="R21" s="1"/>
      <c r="S21" s="1"/>
      <c r="T21" s="178">
        <v>22.96</v>
      </c>
      <c r="V21" s="183"/>
      <c r="W21" s="183"/>
      <c r="X21" s="1"/>
      <c r="Y21" s="1"/>
      <c r="Z21" s="1"/>
      <c r="AA21" s="1"/>
      <c r="AB21" s="1"/>
      <c r="AC21" s="1"/>
      <c r="AD21" s="1"/>
      <c r="AE21" s="1"/>
    </row>
    <row r="22" spans="3:31" ht="12.75">
      <c r="C22" s="1"/>
      <c r="D22" s="1"/>
      <c r="E22" s="1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"/>
      <c r="S22" s="1"/>
      <c r="T22" s="176">
        <f>SUM(T19:T21)</f>
        <v>56.87</v>
      </c>
      <c r="V22" s="183"/>
      <c r="W22" s="183"/>
      <c r="X22" s="1"/>
      <c r="Y22" s="1"/>
      <c r="Z22" s="1"/>
      <c r="AA22" s="1"/>
      <c r="AB22" s="1"/>
      <c r="AC22" s="1"/>
      <c r="AD22" s="1"/>
      <c r="AE22" s="1"/>
    </row>
    <row r="23" spans="1:31" ht="12.75">
      <c r="A23" t="s">
        <v>132</v>
      </c>
      <c r="B23" s="1"/>
      <c r="C23" s="1"/>
      <c r="D23" s="1"/>
      <c r="E23" s="1"/>
      <c r="F23" s="183"/>
      <c r="G23" s="183"/>
      <c r="H23" s="183">
        <v>61.64</v>
      </c>
      <c r="I23" s="183">
        <v>32.79</v>
      </c>
      <c r="J23" s="183">
        <v>124.05</v>
      </c>
      <c r="K23" s="183">
        <v>48.86</v>
      </c>
      <c r="L23" s="183">
        <v>125.11</v>
      </c>
      <c r="M23" s="183">
        <v>49.08</v>
      </c>
      <c r="N23" s="183">
        <v>104.9</v>
      </c>
      <c r="O23" s="183">
        <v>58.13</v>
      </c>
      <c r="P23" s="183"/>
      <c r="Q23" s="94">
        <f>D23+F23+H23+J23+L23+N23</f>
        <v>415.70000000000005</v>
      </c>
      <c r="R23" s="94">
        <f>E23+G23+I23+K23+M23+O23</f>
        <v>188.86</v>
      </c>
      <c r="S23" s="1"/>
      <c r="T23" s="183">
        <v>16.98</v>
      </c>
      <c r="V23" s="183"/>
      <c r="W23" s="183"/>
      <c r="X23" s="1"/>
      <c r="Y23" s="1"/>
      <c r="Z23" s="183"/>
      <c r="AA23" s="1"/>
      <c r="AB23" s="183"/>
      <c r="AC23" s="183"/>
      <c r="AD23" s="183"/>
      <c r="AE23" s="1"/>
    </row>
    <row r="24" spans="2:31" ht="12.75">
      <c r="B24" s="1"/>
      <c r="C24" s="1"/>
      <c r="D24" s="1"/>
      <c r="E24" s="1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"/>
      <c r="S24" s="1"/>
      <c r="T24" s="183">
        <v>17.82</v>
      </c>
      <c r="V24" s="183"/>
      <c r="W24" s="183"/>
      <c r="X24" s="1"/>
      <c r="Y24" s="1"/>
      <c r="Z24" s="1"/>
      <c r="AA24" s="1"/>
      <c r="AB24" s="1"/>
      <c r="AC24" s="1"/>
      <c r="AD24" s="1"/>
      <c r="AE24" s="1"/>
    </row>
    <row r="25" spans="2:31" ht="12.75">
      <c r="B25" s="1"/>
      <c r="C25" s="1"/>
      <c r="D25" s="1"/>
      <c r="E25" s="1"/>
      <c r="F25" s="183"/>
      <c r="G25" s="183"/>
      <c r="H25" s="1"/>
      <c r="I25" s="1"/>
      <c r="J25" s="183"/>
      <c r="K25" s="183"/>
      <c r="L25" s="183"/>
      <c r="M25" s="183"/>
      <c r="N25" s="183"/>
      <c r="O25" s="183"/>
      <c r="P25" s="183"/>
      <c r="Q25" s="183"/>
      <c r="R25" s="1"/>
      <c r="S25" s="1"/>
      <c r="T25" s="178">
        <v>23.8</v>
      </c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2.75">
      <c r="B26" s="1"/>
      <c r="C26" s="1"/>
      <c r="D26" s="1"/>
      <c r="E26" s="1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"/>
      <c r="S26" s="1"/>
      <c r="T26" s="176">
        <f>T23+T24+T25</f>
        <v>58.599999999999994</v>
      </c>
      <c r="V26" s="183"/>
      <c r="W26" s="183"/>
      <c r="X26" s="1"/>
      <c r="Y26" s="1"/>
      <c r="Z26" s="1"/>
      <c r="AA26" s="1"/>
      <c r="AB26" s="183"/>
      <c r="AC26" s="1"/>
      <c r="AD26" s="183"/>
      <c r="AE26" s="1"/>
    </row>
    <row r="27" spans="1:31" ht="12.75">
      <c r="A27" t="s">
        <v>133</v>
      </c>
      <c r="B27" s="1"/>
      <c r="C27" s="1"/>
      <c r="D27" s="1"/>
      <c r="E27" s="1"/>
      <c r="F27" s="183"/>
      <c r="G27" s="183"/>
      <c r="H27" s="183">
        <v>64.85</v>
      </c>
      <c r="I27" s="183">
        <v>32.57</v>
      </c>
      <c r="J27" s="183">
        <v>129.79</v>
      </c>
      <c r="K27" s="183">
        <v>48.94</v>
      </c>
      <c r="L27" s="183">
        <v>128.21</v>
      </c>
      <c r="M27" s="183">
        <v>48.65</v>
      </c>
      <c r="N27" s="183">
        <v>104.67</v>
      </c>
      <c r="O27" s="183">
        <v>58.25</v>
      </c>
      <c r="P27" s="183"/>
      <c r="Q27" s="94">
        <f>D27+F27+H27+J27+L27+N27</f>
        <v>427.52000000000004</v>
      </c>
      <c r="R27" s="94">
        <f>E27+G27+I27+K27+M27+O27</f>
        <v>188.41</v>
      </c>
      <c r="S27" s="1"/>
      <c r="T27" s="183">
        <v>17.28</v>
      </c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2.75">
      <c r="B28" s="1"/>
      <c r="C28" s="1"/>
      <c r="D28" s="1"/>
      <c r="E28" s="1"/>
      <c r="F28" s="1"/>
      <c r="G28" s="1"/>
      <c r="H28" s="183"/>
      <c r="I28" s="183"/>
      <c r="J28" s="219"/>
      <c r="K28" s="1"/>
      <c r="L28" s="1"/>
      <c r="M28" s="1"/>
      <c r="N28" s="1"/>
      <c r="O28" s="1"/>
      <c r="P28" s="1"/>
      <c r="Q28" s="1"/>
      <c r="R28" s="1"/>
      <c r="S28" s="1"/>
      <c r="T28" s="266">
        <v>17</v>
      </c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3:31" ht="12.75">
      <c r="C29" s="1"/>
      <c r="D29" s="1"/>
      <c r="E29" s="1"/>
      <c r="F29" s="183"/>
      <c r="G29" s="183"/>
      <c r="H29" s="183"/>
      <c r="I29" s="183"/>
      <c r="J29" s="183"/>
      <c r="K29" s="183"/>
      <c r="L29" s="183"/>
      <c r="M29" s="1"/>
      <c r="N29" s="1"/>
      <c r="O29" s="183"/>
      <c r="P29" s="183"/>
      <c r="Q29" s="183"/>
      <c r="R29" s="1"/>
      <c r="S29" s="1"/>
      <c r="T29" s="178">
        <v>24.05</v>
      </c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3:31" ht="12.75">
      <c r="C30" s="1"/>
      <c r="D30" s="1"/>
      <c r="E30" s="1"/>
      <c r="F30" s="1"/>
      <c r="G30" s="1"/>
      <c r="H30" s="183"/>
      <c r="I30" s="183"/>
      <c r="J30" s="219"/>
      <c r="K30" s="1"/>
      <c r="L30" s="1"/>
      <c r="M30" s="1"/>
      <c r="N30" s="1"/>
      <c r="O30" s="1"/>
      <c r="P30" s="1"/>
      <c r="Q30" s="1"/>
      <c r="R30" s="1"/>
      <c r="S30" s="1"/>
      <c r="T30" s="176">
        <f>SUM(T27:T29)</f>
        <v>58.33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t="s">
        <v>134</v>
      </c>
      <c r="B31" s="1"/>
      <c r="C31" s="1"/>
      <c r="D31" s="1"/>
      <c r="E31" s="1"/>
      <c r="F31" s="1"/>
      <c r="G31" s="1"/>
      <c r="H31" s="183"/>
      <c r="I31" s="183">
        <v>0</v>
      </c>
      <c r="J31" s="1">
        <v>66.02</v>
      </c>
      <c r="K31" s="1">
        <v>32.88</v>
      </c>
      <c r="L31" s="1">
        <v>134.27</v>
      </c>
      <c r="M31" s="29">
        <v>47.32</v>
      </c>
      <c r="N31" s="29">
        <v>105.6</v>
      </c>
      <c r="O31" s="29">
        <v>58.33</v>
      </c>
      <c r="P31" s="1"/>
      <c r="Q31" s="94">
        <f>D31+F31+H31+J31+L31+N31</f>
        <v>305.89</v>
      </c>
      <c r="R31" s="94">
        <f>E31+G31+I31+K31+M31+O31</f>
        <v>138.53</v>
      </c>
      <c r="S31" s="1"/>
      <c r="T31" s="183">
        <v>16.51</v>
      </c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.75">
      <c r="B32" s="1"/>
      <c r="C32" s="1"/>
      <c r="D32" s="1"/>
      <c r="E32" s="1"/>
      <c r="F32" s="1"/>
      <c r="G32" s="1"/>
      <c r="H32" s="183"/>
      <c r="I32" s="183"/>
      <c r="J32" s="219"/>
      <c r="K32" s="1"/>
      <c r="L32" s="1"/>
      <c r="M32" s="1"/>
      <c r="N32" s="1"/>
      <c r="O32" s="1"/>
      <c r="P32" s="1"/>
      <c r="Q32" s="1"/>
      <c r="R32" s="1"/>
      <c r="S32" s="1"/>
      <c r="T32" s="267">
        <v>25.73</v>
      </c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2.75">
      <c r="C33" s="1"/>
      <c r="D33" s="1"/>
      <c r="E33" s="1"/>
      <c r="F33" s="1"/>
      <c r="G33" s="1"/>
      <c r="H33" s="183"/>
      <c r="I33" s="183"/>
      <c r="J33" s="1"/>
      <c r="K33" s="1"/>
      <c r="L33" s="1"/>
      <c r="M33" s="1"/>
      <c r="N33" s="1"/>
      <c r="O33" s="1"/>
      <c r="P33" s="1"/>
      <c r="Q33" s="1"/>
      <c r="R33" s="1"/>
      <c r="S33" s="1"/>
      <c r="T33" s="176">
        <f>SUM(T31:T32)</f>
        <v>42.24</v>
      </c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3:31" ht="15">
      <c r="C34" s="1"/>
      <c r="D34" s="1"/>
      <c r="E34" s="1"/>
      <c r="F34" s="1"/>
      <c r="G34" s="1"/>
      <c r="H34" s="18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58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t="s">
        <v>135</v>
      </c>
      <c r="B35" s="1"/>
      <c r="C35" s="1"/>
      <c r="D35" s="1"/>
      <c r="E35" s="1"/>
      <c r="F35" s="1"/>
      <c r="G35" s="183"/>
      <c r="H35" s="183"/>
      <c r="I35" s="1"/>
      <c r="J35" s="1"/>
      <c r="K35" s="1"/>
      <c r="L35" s="1"/>
      <c r="M35" s="1"/>
      <c r="N35" s="1">
        <v>47.34</v>
      </c>
      <c r="O35" s="1">
        <v>28.86</v>
      </c>
      <c r="P35" s="1"/>
      <c r="Q35" s="94">
        <f>D35+F35+H35+J35+L35+N35</f>
        <v>47.34</v>
      </c>
      <c r="R35" s="94">
        <f>E35+G35+I35+K35+M35+O35</f>
        <v>28.86</v>
      </c>
      <c r="S35" s="1"/>
      <c r="T35" s="183">
        <v>17.06</v>
      </c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2.75">
      <c r="B36" s="1"/>
      <c r="C36" s="1"/>
      <c r="D36" s="1"/>
      <c r="E36" s="1"/>
      <c r="F36" s="219"/>
      <c r="G36" s="183"/>
      <c r="H36" s="18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83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20" ht="12.75">
      <c r="A37" s="1"/>
      <c r="B37" s="1"/>
      <c r="C37" s="1"/>
      <c r="D37" s="1"/>
      <c r="E37" s="1"/>
      <c r="F37" s="1"/>
      <c r="G37" s="183"/>
      <c r="H37" s="1"/>
      <c r="I37" s="1"/>
      <c r="J37" s="1"/>
      <c r="K37" s="1"/>
      <c r="L37" s="1"/>
      <c r="M37" s="1"/>
      <c r="N37" s="1"/>
      <c r="O37" s="1"/>
      <c r="P37" s="1"/>
      <c r="Q37" s="183"/>
      <c r="R37" s="183"/>
      <c r="S37" s="1"/>
      <c r="T37" s="183"/>
    </row>
    <row r="38" spans="1:20" ht="13.5" thickBot="1">
      <c r="A38" s="1"/>
      <c r="B38" s="1"/>
      <c r="C38" s="37" t="s">
        <v>136</v>
      </c>
      <c r="D38" s="269">
        <f aca="true" t="shared" si="0" ref="D38:O38">SUM(D13:D37)</f>
        <v>34.58</v>
      </c>
      <c r="E38" s="269">
        <f t="shared" si="0"/>
        <v>23.81</v>
      </c>
      <c r="F38" s="269">
        <f t="shared" si="0"/>
        <v>58.66</v>
      </c>
      <c r="G38" s="269">
        <f t="shared" si="0"/>
        <v>55.709999999999994</v>
      </c>
      <c r="H38" s="269">
        <f t="shared" si="0"/>
        <v>253.05999999999997</v>
      </c>
      <c r="I38" s="269">
        <f t="shared" si="0"/>
        <v>130.63</v>
      </c>
      <c r="J38" s="269">
        <f t="shared" si="0"/>
        <v>581.66</v>
      </c>
      <c r="K38" s="269">
        <f t="shared" si="0"/>
        <v>226.41</v>
      </c>
      <c r="L38" s="269">
        <f t="shared" si="0"/>
        <v>649.3100000000001</v>
      </c>
      <c r="M38" s="269">
        <f t="shared" si="0"/>
        <v>240.83</v>
      </c>
      <c r="N38" s="269">
        <f t="shared" si="0"/>
        <v>452.39</v>
      </c>
      <c r="O38" s="269">
        <f t="shared" si="0"/>
        <v>257.91</v>
      </c>
      <c r="P38" s="1"/>
      <c r="Q38" s="269">
        <f>D38+F38+T38+H38+J38+L38+N38</f>
        <v>2350.6699999999996</v>
      </c>
      <c r="R38" s="269">
        <f>E38+G38+I38+K38+M38+O38</f>
        <v>935.3</v>
      </c>
      <c r="S38" s="1"/>
      <c r="T38" s="269">
        <f>T18+T22+T26+T30+T33+T35</f>
        <v>321.01</v>
      </c>
    </row>
    <row r="39" spans="3:16" ht="13.5" thickTop="1">
      <c r="C39" s="1"/>
      <c r="D39" s="1"/>
      <c r="E39" s="1"/>
      <c r="F39" s="1"/>
      <c r="G39" s="183"/>
      <c r="H39" s="1"/>
      <c r="I39" s="1"/>
      <c r="J39" s="1"/>
      <c r="K39" s="1"/>
      <c r="L39" s="1"/>
      <c r="M39" s="1"/>
      <c r="P39" s="1"/>
    </row>
    <row r="40" spans="4:17" ht="12.75">
      <c r="D40" s="213" t="s">
        <v>172</v>
      </c>
      <c r="E40" s="213" t="s">
        <v>154</v>
      </c>
      <c r="Q40" s="1"/>
    </row>
    <row r="41" spans="1:8" ht="12.75">
      <c r="A41" s="263" t="s">
        <v>214</v>
      </c>
      <c r="B41" s="1"/>
      <c r="D41">
        <v>74.69</v>
      </c>
      <c r="E41">
        <v>34.87</v>
      </c>
      <c r="H41" s="179" t="s">
        <v>394</v>
      </c>
    </row>
    <row r="42" spans="1:16" ht="12.75">
      <c r="A42" s="1"/>
      <c r="B42" s="1"/>
      <c r="D42">
        <v>71.6</v>
      </c>
      <c r="E42">
        <v>34.23</v>
      </c>
      <c r="I42" s="272" t="s">
        <v>301</v>
      </c>
      <c r="J42" s="272" t="s">
        <v>395</v>
      </c>
      <c r="K42" s="272" t="s">
        <v>396</v>
      </c>
      <c r="L42" s="272" t="s">
        <v>397</v>
      </c>
      <c r="M42" s="289" t="s">
        <v>398</v>
      </c>
      <c r="N42" s="272"/>
      <c r="P42" s="272" t="s">
        <v>143</v>
      </c>
    </row>
    <row r="43" spans="2:16" ht="12.75">
      <c r="B43" s="1"/>
      <c r="D43">
        <v>73.14</v>
      </c>
      <c r="E43">
        <v>34.56</v>
      </c>
      <c r="H43" t="s">
        <v>399</v>
      </c>
      <c r="I43" s="94">
        <f>F15</f>
        <v>34.58</v>
      </c>
      <c r="J43" s="94">
        <f>Q15-F15</f>
        <v>376.44</v>
      </c>
      <c r="K43" s="94">
        <f>T18</f>
        <v>87.91</v>
      </c>
      <c r="P43" s="94">
        <f aca="true" t="shared" si="1" ref="P43:P48">SUM(I43:O43)</f>
        <v>498.92999999999995</v>
      </c>
    </row>
    <row r="44" spans="2:16" ht="12.75">
      <c r="B44" s="1"/>
      <c r="D44">
        <v>143.54</v>
      </c>
      <c r="E44">
        <v>48.89</v>
      </c>
      <c r="H44" t="s">
        <v>140</v>
      </c>
      <c r="J44" s="94">
        <f>Q19</f>
        <v>387.60999999999996</v>
      </c>
      <c r="K44" s="94">
        <f>T22</f>
        <v>56.87</v>
      </c>
      <c r="L44">
        <f>N60</f>
        <v>23.43</v>
      </c>
      <c r="M44">
        <f>N73</f>
        <v>5.54</v>
      </c>
      <c r="P44" s="94">
        <f t="shared" si="1"/>
        <v>473.45</v>
      </c>
    </row>
    <row r="45" spans="4:16" ht="12.75">
      <c r="D45">
        <v>72.41</v>
      </c>
      <c r="E45">
        <v>34.96</v>
      </c>
      <c r="H45" t="s">
        <v>141</v>
      </c>
      <c r="J45" s="94">
        <f>Q23</f>
        <v>415.70000000000005</v>
      </c>
      <c r="K45" s="94">
        <f>T26</f>
        <v>58.599999999999994</v>
      </c>
      <c r="L45">
        <f>N64</f>
        <v>37.84</v>
      </c>
      <c r="M45">
        <f>N64</f>
        <v>37.84</v>
      </c>
      <c r="P45" s="94">
        <f t="shared" si="1"/>
        <v>549.9800000000001</v>
      </c>
    </row>
    <row r="46" spans="4:16" ht="12.75">
      <c r="D46">
        <v>53.47</v>
      </c>
      <c r="E46">
        <v>30.54</v>
      </c>
      <c r="H46" t="s">
        <v>142</v>
      </c>
      <c r="J46" s="94">
        <f>Q27</f>
        <v>427.52000000000004</v>
      </c>
      <c r="K46" s="94">
        <f>T30</f>
        <v>58.33</v>
      </c>
      <c r="L46">
        <f>N66</f>
        <v>14.86</v>
      </c>
      <c r="M46">
        <f>N66</f>
        <v>14.86</v>
      </c>
      <c r="P46" s="94">
        <f t="shared" si="1"/>
        <v>515.57</v>
      </c>
    </row>
    <row r="47" spans="3:16" ht="13.5" thickBot="1">
      <c r="C47" s="37" t="s">
        <v>136</v>
      </c>
      <c r="D47" s="243">
        <f>SUM(D41:D46)</f>
        <v>488.85</v>
      </c>
      <c r="E47" s="243">
        <f>SUM(E41:E46)</f>
        <v>218.05</v>
      </c>
      <c r="H47" t="s">
        <v>146</v>
      </c>
      <c r="J47" s="94">
        <f>Q31</f>
        <v>305.89</v>
      </c>
      <c r="K47" s="94">
        <f>T33</f>
        <v>42.24</v>
      </c>
      <c r="L47">
        <f>N68</f>
        <v>0</v>
      </c>
      <c r="M47">
        <f>N81</f>
        <v>0</v>
      </c>
      <c r="P47" s="94">
        <f t="shared" si="1"/>
        <v>348.13</v>
      </c>
    </row>
    <row r="48" spans="6:16" ht="13.5" thickTop="1">
      <c r="F48" s="1"/>
      <c r="G48" s="260"/>
      <c r="H48" s="262" t="s">
        <v>144</v>
      </c>
      <c r="I48" s="219"/>
      <c r="J48" s="1">
        <f>Q35</f>
        <v>47.34</v>
      </c>
      <c r="K48" s="183">
        <f>T35</f>
        <v>17.06</v>
      </c>
      <c r="L48" s="1">
        <v>0</v>
      </c>
      <c r="M48" s="1">
        <v>0</v>
      </c>
      <c r="N48" s="1"/>
      <c r="P48" s="94">
        <f t="shared" si="1"/>
        <v>64.4</v>
      </c>
    </row>
    <row r="49" spans="1:14" ht="12.75">
      <c r="A49" t="s">
        <v>288</v>
      </c>
      <c r="C49" s="1"/>
      <c r="D49" s="29">
        <v>71.6</v>
      </c>
      <c r="E49" s="29"/>
      <c r="F49" s="1"/>
      <c r="G49" s="1"/>
      <c r="H49" s="1"/>
      <c r="I49" s="1"/>
      <c r="J49" s="1"/>
      <c r="K49" s="1"/>
      <c r="L49" s="261"/>
      <c r="M49" s="261"/>
      <c r="N49" s="1"/>
    </row>
    <row r="50" spans="1:16" ht="13.5" thickBot="1">
      <c r="A50" s="1" t="s">
        <v>272</v>
      </c>
      <c r="B50" s="1"/>
      <c r="C50" s="37"/>
      <c r="D50" s="29">
        <v>72.41</v>
      </c>
      <c r="E50" s="29"/>
      <c r="F50" s="1"/>
      <c r="G50" s="1"/>
      <c r="H50" s="1"/>
      <c r="I50" s="183">
        <f>SUM(I43:I48)</f>
        <v>34.58</v>
      </c>
      <c r="J50" s="183">
        <f>SUM(J43:J48)</f>
        <v>1960.4999999999998</v>
      </c>
      <c r="K50" s="183">
        <f>SUM(K43:K48)</f>
        <v>321.01</v>
      </c>
      <c r="L50" s="183">
        <f>SUM(L43:L48)</f>
        <v>76.13</v>
      </c>
      <c r="M50" s="183">
        <f>SUM(M43:M48)</f>
        <v>58.24</v>
      </c>
      <c r="N50" s="1"/>
      <c r="O50" t="s">
        <v>143</v>
      </c>
      <c r="P50" s="278">
        <f>SUM(P43:P49)</f>
        <v>2450.4600000000005</v>
      </c>
    </row>
    <row r="51" spans="1:14" ht="14.25" thickBot="1" thickTop="1">
      <c r="A51" s="1"/>
      <c r="B51" s="1"/>
      <c r="C51" s="37" t="s">
        <v>136</v>
      </c>
      <c r="D51" s="243">
        <f>SUM(D49:D50)</f>
        <v>144.01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6" ht="13.5" thickTop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94">
        <f>P50-K50</f>
        <v>2129.4500000000007</v>
      </c>
    </row>
    <row r="53" spans="1:14" ht="12.75">
      <c r="A53" s="1" t="s">
        <v>287</v>
      </c>
      <c r="B53" s="1"/>
      <c r="C53" s="1"/>
      <c r="D53" s="1">
        <v>16.06</v>
      </c>
      <c r="E53" s="1">
        <v>19.96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29">
        <v>16.91</v>
      </c>
      <c r="E54" s="29">
        <v>20.19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29">
        <v>16.41</v>
      </c>
      <c r="E55" s="29">
        <v>20.05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ht="13.5" thickBot="1">
      <c r="A56" s="1"/>
      <c r="B56" s="1"/>
      <c r="C56" s="37" t="s">
        <v>136</v>
      </c>
      <c r="D56" s="243">
        <f>SUM(D53:D55)</f>
        <v>49.379999999999995</v>
      </c>
      <c r="E56" s="243">
        <f>SUM(E53:E55)</f>
        <v>60.2</v>
      </c>
      <c r="F56" s="1"/>
      <c r="G56" s="1"/>
      <c r="H56" s="263"/>
      <c r="I56" s="1"/>
      <c r="J56" s="1"/>
      <c r="K56" s="1"/>
      <c r="L56" s="1"/>
      <c r="M56" s="1"/>
      <c r="N56" s="1"/>
    </row>
    <row r="57" ht="13.5" thickTop="1"/>
    <row r="60" spans="1:16" ht="12.75">
      <c r="A60" s="1" t="s">
        <v>225</v>
      </c>
      <c r="B60" s="1"/>
      <c r="C60" s="1" t="s">
        <v>280</v>
      </c>
      <c r="D60" s="92">
        <v>7.94</v>
      </c>
      <c r="E60" s="92">
        <v>12.66</v>
      </c>
      <c r="F60" s="92">
        <v>7.97</v>
      </c>
      <c r="G60" s="265">
        <v>12.69</v>
      </c>
      <c r="H60" s="265">
        <v>7.52</v>
      </c>
      <c r="I60" s="265">
        <v>12.41</v>
      </c>
      <c r="J60" s="265">
        <v>0</v>
      </c>
      <c r="K60" s="265">
        <v>0</v>
      </c>
      <c r="N60">
        <f>D60+F60+H60</f>
        <v>23.43</v>
      </c>
      <c r="O60">
        <f>E60+G60+I60</f>
        <v>37.760000000000005</v>
      </c>
      <c r="P60" s="1" t="s">
        <v>280</v>
      </c>
    </row>
    <row r="61" spans="1:2" ht="12.75">
      <c r="A61" s="1"/>
      <c r="B61" s="1"/>
    </row>
    <row r="62" spans="2:16" ht="12.75">
      <c r="B62" s="1"/>
      <c r="C62" s="1" t="s">
        <v>281</v>
      </c>
      <c r="D62">
        <v>7.62</v>
      </c>
      <c r="E62">
        <v>12.45</v>
      </c>
      <c r="F62">
        <v>7.63</v>
      </c>
      <c r="G62">
        <v>12.53</v>
      </c>
      <c r="H62">
        <v>7.59</v>
      </c>
      <c r="I62">
        <v>12.44</v>
      </c>
      <c r="J62">
        <v>0</v>
      </c>
      <c r="K62">
        <v>0</v>
      </c>
      <c r="P62" s="1" t="s">
        <v>281</v>
      </c>
    </row>
    <row r="63" spans="1:16" ht="12.75">
      <c r="A63" s="1"/>
      <c r="B63" s="1"/>
      <c r="C63" s="1"/>
      <c r="D63" s="92">
        <v>0</v>
      </c>
      <c r="E63" s="92">
        <v>0</v>
      </c>
      <c r="F63" s="92">
        <v>7.56</v>
      </c>
      <c r="G63" s="92">
        <v>12.4</v>
      </c>
      <c r="H63" s="92">
        <v>7.44</v>
      </c>
      <c r="I63" s="265">
        <v>12.46</v>
      </c>
      <c r="J63" s="265">
        <v>0</v>
      </c>
      <c r="K63" s="265">
        <v>0</v>
      </c>
      <c r="P63" s="1"/>
    </row>
    <row r="64" spans="1:15" ht="12.75">
      <c r="A64" s="1"/>
      <c r="B64" s="1"/>
      <c r="D64" s="92">
        <f aca="true" t="shared" si="2" ref="D64:I64">SUM(D62:D63)</f>
        <v>7.62</v>
      </c>
      <c r="E64" s="92">
        <f t="shared" si="2"/>
        <v>12.45</v>
      </c>
      <c r="F64" s="92">
        <f t="shared" si="2"/>
        <v>15.19</v>
      </c>
      <c r="G64" s="92">
        <f t="shared" si="2"/>
        <v>24.93</v>
      </c>
      <c r="H64" s="92">
        <f t="shared" si="2"/>
        <v>15.030000000000001</v>
      </c>
      <c r="I64" s="92">
        <f t="shared" si="2"/>
        <v>24.9</v>
      </c>
      <c r="J64">
        <v>0</v>
      </c>
      <c r="K64">
        <v>0</v>
      </c>
      <c r="N64">
        <f>D64+F64+H64</f>
        <v>37.84</v>
      </c>
      <c r="O64">
        <f>E64+G64+I64</f>
        <v>62.279999999999994</v>
      </c>
    </row>
    <row r="65" spans="1:2" ht="12.75">
      <c r="A65" s="1"/>
      <c r="B65" s="1"/>
    </row>
    <row r="66" spans="3:16" ht="12.75">
      <c r="C66" s="1" t="s">
        <v>282</v>
      </c>
      <c r="D66" s="92">
        <v>0</v>
      </c>
      <c r="E66" s="92">
        <v>0</v>
      </c>
      <c r="F66" s="92">
        <v>7.64</v>
      </c>
      <c r="G66" s="213">
        <v>12.46</v>
      </c>
      <c r="H66" s="213">
        <v>7.22</v>
      </c>
      <c r="I66" s="265">
        <v>7.22</v>
      </c>
      <c r="J66" s="179">
        <v>0</v>
      </c>
      <c r="K66" s="179">
        <v>0</v>
      </c>
      <c r="N66">
        <f>D66+F66+H66</f>
        <v>14.86</v>
      </c>
      <c r="O66">
        <f>E66+G66+I66</f>
        <v>19.68</v>
      </c>
      <c r="P66" s="1" t="s">
        <v>282</v>
      </c>
    </row>
    <row r="68" spans="3:16" ht="12.75">
      <c r="C68" t="s">
        <v>283</v>
      </c>
      <c r="D68" s="179">
        <v>0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N68">
        <f>D68+F68+H68</f>
        <v>0</v>
      </c>
      <c r="O68">
        <f>E68+G68+I68</f>
        <v>0</v>
      </c>
      <c r="P68" t="s">
        <v>283</v>
      </c>
    </row>
    <row r="70" spans="3:16" ht="13.5" thickBot="1">
      <c r="C70" s="37" t="s">
        <v>136</v>
      </c>
      <c r="D70" s="243">
        <f>D60+D64+D66+D68</f>
        <v>15.56</v>
      </c>
      <c r="E70" s="243">
        <f aca="true" t="shared" si="3" ref="E70:K70">E60+E64+E66+E68</f>
        <v>25.11</v>
      </c>
      <c r="F70" s="243">
        <f t="shared" si="3"/>
        <v>30.8</v>
      </c>
      <c r="G70" s="243">
        <f t="shared" si="3"/>
        <v>50.08</v>
      </c>
      <c r="H70" s="243">
        <f t="shared" si="3"/>
        <v>29.77</v>
      </c>
      <c r="I70" s="243">
        <f t="shared" si="3"/>
        <v>44.53</v>
      </c>
      <c r="J70" s="243">
        <f t="shared" si="3"/>
        <v>0</v>
      </c>
      <c r="K70" s="243">
        <f t="shared" si="3"/>
        <v>0</v>
      </c>
      <c r="N70" s="243">
        <f>D70+F70+H70+J70</f>
        <v>76.13</v>
      </c>
      <c r="O70" s="243">
        <f>E70+G70+I70+K70</f>
        <v>119.72</v>
      </c>
      <c r="P70" s="37" t="s">
        <v>136</v>
      </c>
    </row>
    <row r="71" ht="13.5" thickTop="1"/>
    <row r="73" spans="1:16" ht="12.75">
      <c r="A73" s="1" t="s">
        <v>279</v>
      </c>
      <c r="B73" s="1"/>
      <c r="C73" s="1" t="s">
        <v>280</v>
      </c>
      <c r="D73" s="92">
        <v>1.86</v>
      </c>
      <c r="E73" s="92">
        <v>6.08</v>
      </c>
      <c r="F73" s="92">
        <v>1.88</v>
      </c>
      <c r="G73" s="265">
        <v>6.08</v>
      </c>
      <c r="H73" s="265">
        <v>1.8</v>
      </c>
      <c r="I73" s="265">
        <v>6.08</v>
      </c>
      <c r="J73" s="265">
        <v>0</v>
      </c>
      <c r="K73" s="265">
        <v>0</v>
      </c>
      <c r="N73">
        <f>D73+F73+H73</f>
        <v>5.54</v>
      </c>
      <c r="O73">
        <f>E73+G73+I73</f>
        <v>18.240000000000002</v>
      </c>
      <c r="P73" s="1" t="s">
        <v>280</v>
      </c>
    </row>
    <row r="74" spans="1:2" ht="12.75">
      <c r="A74" s="1"/>
      <c r="B74" s="1"/>
    </row>
    <row r="75" spans="1:16" ht="12.75">
      <c r="A75" s="1"/>
      <c r="B75" s="1"/>
      <c r="C75" s="1" t="s">
        <v>281</v>
      </c>
      <c r="D75" s="1">
        <v>1.88</v>
      </c>
      <c r="E75" s="1">
        <v>6.12</v>
      </c>
      <c r="F75" s="1">
        <v>1.94</v>
      </c>
      <c r="G75" s="29">
        <v>6.09</v>
      </c>
      <c r="H75" s="29">
        <v>1.85</v>
      </c>
      <c r="I75" s="29">
        <v>6.09</v>
      </c>
      <c r="J75" s="29">
        <v>0</v>
      </c>
      <c r="K75" s="29">
        <v>0</v>
      </c>
      <c r="P75" s="1" t="s">
        <v>281</v>
      </c>
    </row>
    <row r="76" spans="1:16" ht="12.75">
      <c r="A76" s="1"/>
      <c r="B76" s="1"/>
      <c r="C76" s="1"/>
      <c r="D76" s="92">
        <v>0</v>
      </c>
      <c r="E76" s="92">
        <v>0</v>
      </c>
      <c r="F76" s="92">
        <v>1.87</v>
      </c>
      <c r="G76" s="92">
        <v>6.14</v>
      </c>
      <c r="H76" s="92">
        <v>1.76</v>
      </c>
      <c r="I76" s="265">
        <v>5.96</v>
      </c>
      <c r="J76" s="265">
        <v>0</v>
      </c>
      <c r="K76" s="265">
        <v>0</v>
      </c>
      <c r="P76" s="1"/>
    </row>
    <row r="77" spans="1:16" ht="12.75">
      <c r="A77" s="1"/>
      <c r="B77" s="1"/>
      <c r="C77" s="1"/>
      <c r="D77" s="92">
        <f aca="true" t="shared" si="4" ref="D77:I77">SUM(D75:D76)</f>
        <v>1.88</v>
      </c>
      <c r="E77" s="92">
        <f t="shared" si="4"/>
        <v>6.12</v>
      </c>
      <c r="F77" s="92">
        <f t="shared" si="4"/>
        <v>3.81</v>
      </c>
      <c r="G77" s="92">
        <f t="shared" si="4"/>
        <v>12.23</v>
      </c>
      <c r="H77" s="92">
        <f t="shared" si="4"/>
        <v>3.6100000000000003</v>
      </c>
      <c r="I77" s="92">
        <f t="shared" si="4"/>
        <v>12.05</v>
      </c>
      <c r="J77" s="265">
        <v>0</v>
      </c>
      <c r="K77" s="265">
        <v>0</v>
      </c>
      <c r="N77">
        <f>D77+F77+H77</f>
        <v>9.3</v>
      </c>
      <c r="O77">
        <f>E77+G77+I77</f>
        <v>30.400000000000002</v>
      </c>
      <c r="P77" s="1"/>
    </row>
    <row r="79" spans="3:16" ht="12.75">
      <c r="C79" s="1" t="s">
        <v>282</v>
      </c>
      <c r="D79" s="92">
        <v>0</v>
      </c>
      <c r="E79" s="92">
        <v>0</v>
      </c>
      <c r="F79" s="92">
        <v>1.82</v>
      </c>
      <c r="G79" s="213">
        <v>6.07</v>
      </c>
      <c r="H79" s="213">
        <v>1.72</v>
      </c>
      <c r="I79" s="265">
        <v>5.88</v>
      </c>
      <c r="J79" s="265">
        <v>0</v>
      </c>
      <c r="K79" s="265">
        <v>0</v>
      </c>
      <c r="N79">
        <f>D79+F79+H79</f>
        <v>3.54</v>
      </c>
      <c r="O79">
        <f>E79+G79+I79</f>
        <v>11.95</v>
      </c>
      <c r="P79" s="1" t="s">
        <v>282</v>
      </c>
    </row>
    <row r="81" spans="3:16" ht="12.75">
      <c r="C81" t="s">
        <v>283</v>
      </c>
      <c r="D81" s="179">
        <v>0</v>
      </c>
      <c r="E81" s="179">
        <v>0</v>
      </c>
      <c r="F81" s="179">
        <v>0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N81">
        <f>D81+F81+H81</f>
        <v>0</v>
      </c>
      <c r="O81">
        <f>E81+G81+I81</f>
        <v>0</v>
      </c>
      <c r="P81" t="s">
        <v>283</v>
      </c>
    </row>
    <row r="83" spans="3:16" ht="13.5" thickBot="1">
      <c r="C83" s="37" t="s">
        <v>136</v>
      </c>
      <c r="D83" s="243">
        <f>D73+D77+D79+D81</f>
        <v>3.74</v>
      </c>
      <c r="E83" s="243">
        <f aca="true" t="shared" si="5" ref="E83:K83">E73+E77+E79+E81</f>
        <v>12.2</v>
      </c>
      <c r="F83" s="243">
        <f t="shared" si="5"/>
        <v>7.51</v>
      </c>
      <c r="G83" s="243">
        <f t="shared" si="5"/>
        <v>24.380000000000003</v>
      </c>
      <c r="H83" s="243">
        <f t="shared" si="5"/>
        <v>7.13</v>
      </c>
      <c r="I83" s="243">
        <f t="shared" si="5"/>
        <v>24.01</v>
      </c>
      <c r="J83" s="243">
        <f t="shared" si="5"/>
        <v>0</v>
      </c>
      <c r="K83" s="243">
        <f t="shared" si="5"/>
        <v>0</v>
      </c>
      <c r="N83" s="243">
        <f>D83+F83+H83+J83</f>
        <v>18.38</v>
      </c>
      <c r="O83" s="243">
        <f>E83+G83+I83+K83</f>
        <v>60.59</v>
      </c>
      <c r="P83" s="37" t="s">
        <v>136</v>
      </c>
    </row>
    <row r="84" ht="13.5" thickTop="1"/>
  </sheetData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B28">
      <selection activeCell="I74" sqref="I74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18.28125" style="0" customWidth="1"/>
    <col min="7" max="7" width="9.28125" style="0" bestFit="1" customWidth="1"/>
    <col min="9" max="9" width="13.140625" style="0" customWidth="1"/>
    <col min="10" max="10" width="11.140625" style="0" customWidth="1"/>
    <col min="11" max="11" width="13.421875" style="0" bestFit="1" customWidth="1"/>
    <col min="12" max="12" width="12.28125" style="0" bestFit="1" customWidth="1"/>
    <col min="13" max="13" width="14.00390625" style="0" customWidth="1"/>
  </cols>
  <sheetData>
    <row r="1" spans="1:14" ht="15" customHeight="1" thickTop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35.25" customHeight="1">
      <c r="A2" s="104"/>
      <c r="B2" s="105"/>
      <c r="C2" s="106" t="s">
        <v>269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ht="21.75" customHeight="1">
      <c r="A3" s="109"/>
      <c r="B3" s="107"/>
      <c r="C3" s="110" t="s">
        <v>129</v>
      </c>
      <c r="D3" s="107"/>
      <c r="E3" s="107"/>
      <c r="F3" s="107"/>
      <c r="G3" s="107"/>
      <c r="H3" s="107"/>
      <c r="I3" s="105"/>
      <c r="J3" s="111" t="s">
        <v>50</v>
      </c>
      <c r="K3" s="107"/>
      <c r="L3" s="107"/>
      <c r="M3" s="105"/>
      <c r="N3" s="108"/>
    </row>
    <row r="4" spans="1:14" ht="12.75">
      <c r="A4" s="109"/>
      <c r="B4" s="112"/>
      <c r="C4" s="107"/>
      <c r="D4" s="107"/>
      <c r="E4" s="107"/>
      <c r="F4" s="107"/>
      <c r="G4" s="107"/>
      <c r="H4" s="107"/>
      <c r="I4" s="105"/>
      <c r="J4" s="107"/>
      <c r="K4" s="107"/>
      <c r="L4" s="107"/>
      <c r="M4" s="105"/>
      <c r="N4" s="108"/>
    </row>
    <row r="5" spans="1:14" ht="12.75">
      <c r="A5" s="208"/>
      <c r="B5" s="105" t="s">
        <v>51</v>
      </c>
      <c r="C5" s="107"/>
      <c r="D5" s="107"/>
      <c r="E5" s="113"/>
      <c r="F5" s="107"/>
      <c r="G5" s="107"/>
      <c r="H5" s="114" t="s">
        <v>52</v>
      </c>
      <c r="I5" s="105"/>
      <c r="J5" s="107"/>
      <c r="K5" s="115" t="s">
        <v>128</v>
      </c>
      <c r="L5" s="116"/>
      <c r="M5" s="209"/>
      <c r="N5" s="117"/>
    </row>
    <row r="6" spans="1:14" ht="13.5">
      <c r="A6" s="208"/>
      <c r="B6" s="105"/>
      <c r="C6" s="107"/>
      <c r="D6" s="107"/>
      <c r="E6" s="107"/>
      <c r="F6" s="107"/>
      <c r="G6" s="107"/>
      <c r="H6" s="114" t="s">
        <v>52</v>
      </c>
      <c r="I6" s="175" t="s">
        <v>270</v>
      </c>
      <c r="J6" s="107"/>
      <c r="K6" s="118"/>
      <c r="L6" s="119">
        <f>SUM('Notes Page'!C2:C6)</f>
        <v>2269.62</v>
      </c>
      <c r="M6" s="210" t="s">
        <v>53</v>
      </c>
      <c r="N6" s="120"/>
    </row>
    <row r="7" spans="1:14" ht="13.5">
      <c r="A7" s="208"/>
      <c r="B7" s="121" t="s">
        <v>54</v>
      </c>
      <c r="C7" s="107"/>
      <c r="D7" s="107"/>
      <c r="E7" s="107"/>
      <c r="F7" s="107"/>
      <c r="G7" s="107"/>
      <c r="H7" s="114" t="s">
        <v>52</v>
      </c>
      <c r="I7" s="107"/>
      <c r="J7" s="107"/>
      <c r="K7" s="122"/>
      <c r="L7" s="123">
        <f>+L6*10.764</f>
        <v>24430.189679999996</v>
      </c>
      <c r="M7" s="211" t="s">
        <v>55</v>
      </c>
      <c r="N7" s="120"/>
    </row>
    <row r="8" spans="1:14" ht="13.5" thickBot="1">
      <c r="A8" s="208"/>
      <c r="B8" s="2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74"/>
      <c r="N8" s="108"/>
    </row>
    <row r="9" spans="1:14" ht="13.5" thickTop="1">
      <c r="A9" s="109"/>
      <c r="B9" s="101"/>
      <c r="C9" s="102"/>
      <c r="D9" s="102"/>
      <c r="E9" s="102"/>
      <c r="F9" s="102"/>
      <c r="G9" s="102"/>
      <c r="H9" s="124"/>
      <c r="I9" s="125"/>
      <c r="J9" s="124"/>
      <c r="K9" s="124"/>
      <c r="L9" s="124"/>
      <c r="M9" s="126"/>
      <c r="N9" s="127"/>
    </row>
    <row r="10" spans="1:14" ht="12.75">
      <c r="A10" s="109"/>
      <c r="B10" s="109"/>
      <c r="C10" s="107"/>
      <c r="D10" s="107"/>
      <c r="E10" s="107"/>
      <c r="F10" s="107"/>
      <c r="G10" s="107"/>
      <c r="H10" s="128"/>
      <c r="I10" s="129"/>
      <c r="J10" s="129"/>
      <c r="K10" s="129"/>
      <c r="L10" s="129"/>
      <c r="M10" s="130"/>
      <c r="N10" s="127"/>
    </row>
    <row r="11" spans="1:14" ht="12.75">
      <c r="A11" s="109"/>
      <c r="B11" s="109"/>
      <c r="C11" s="107"/>
      <c r="D11" s="107"/>
      <c r="E11" s="107"/>
      <c r="F11" s="107"/>
      <c r="G11" s="107"/>
      <c r="H11" s="128"/>
      <c r="I11" s="131" t="s">
        <v>0</v>
      </c>
      <c r="J11" s="105"/>
      <c r="K11" s="131" t="s">
        <v>416</v>
      </c>
      <c r="L11" s="105"/>
      <c r="M11" s="132" t="s">
        <v>416</v>
      </c>
      <c r="N11" s="133"/>
    </row>
    <row r="12" spans="1:14" ht="12.75">
      <c r="A12" s="109"/>
      <c r="B12" s="109"/>
      <c r="C12" s="107"/>
      <c r="D12" s="107"/>
      <c r="E12" s="107"/>
      <c r="F12" s="107"/>
      <c r="G12" s="107"/>
      <c r="H12" s="128"/>
      <c r="I12" s="131" t="s">
        <v>56</v>
      </c>
      <c r="J12" s="105"/>
      <c r="K12" s="131" t="s">
        <v>417</v>
      </c>
      <c r="L12" s="105"/>
      <c r="M12" s="132" t="s">
        <v>418</v>
      </c>
      <c r="N12" s="133"/>
    </row>
    <row r="13" spans="1:14" ht="12.75">
      <c r="A13" s="109"/>
      <c r="B13" s="109"/>
      <c r="C13" s="107"/>
      <c r="D13" s="107"/>
      <c r="E13" s="107"/>
      <c r="F13" s="107"/>
      <c r="G13" s="107"/>
      <c r="H13" s="128"/>
      <c r="I13" s="131" t="s">
        <v>7</v>
      </c>
      <c r="J13" s="105"/>
      <c r="K13" s="131" t="s">
        <v>57</v>
      </c>
      <c r="L13" s="105"/>
      <c r="M13" s="132" t="s">
        <v>58</v>
      </c>
      <c r="N13" s="133"/>
    </row>
    <row r="14" spans="1:14" ht="12.75">
      <c r="A14" s="109"/>
      <c r="B14" s="109"/>
      <c r="C14" s="107"/>
      <c r="D14" s="107"/>
      <c r="E14" s="107"/>
      <c r="F14" s="107"/>
      <c r="G14" s="107"/>
      <c r="H14" s="128"/>
      <c r="I14" s="134"/>
      <c r="J14" s="135"/>
      <c r="K14" s="134"/>
      <c r="L14" s="135"/>
      <c r="M14" s="136"/>
      <c r="N14" s="137"/>
    </row>
    <row r="15" spans="1:14" ht="12.75">
      <c r="A15" s="109"/>
      <c r="B15" s="138" t="s">
        <v>59</v>
      </c>
      <c r="C15" s="121" t="s">
        <v>60</v>
      </c>
      <c r="D15" s="107"/>
      <c r="E15" s="107"/>
      <c r="F15" s="107"/>
      <c r="G15" s="107"/>
      <c r="H15" s="128"/>
      <c r="I15" s="139">
        <f>Substructure!I46</f>
        <v>247273.28599999996</v>
      </c>
      <c r="J15" s="139"/>
      <c r="K15" s="134">
        <f>I15/$L$6</f>
        <v>108.94920118786403</v>
      </c>
      <c r="L15" s="135"/>
      <c r="M15" s="136">
        <f>SUM(K15/10.764)</f>
        <v>10.121627758069867</v>
      </c>
      <c r="N15" s="137"/>
    </row>
    <row r="16" spans="1:14" ht="12.75">
      <c r="A16" s="109"/>
      <c r="B16" s="109"/>
      <c r="C16" s="107"/>
      <c r="D16" s="107"/>
      <c r="E16" s="107"/>
      <c r="F16" s="107"/>
      <c r="G16" s="107"/>
      <c r="H16" s="128"/>
      <c r="I16" s="134"/>
      <c r="J16" s="134"/>
      <c r="K16" s="134"/>
      <c r="L16" s="135"/>
      <c r="M16" s="136"/>
      <c r="N16" s="137"/>
    </row>
    <row r="17" spans="1:14" ht="12.75">
      <c r="A17" s="109"/>
      <c r="B17" s="109"/>
      <c r="C17" s="107"/>
      <c r="D17" s="140"/>
      <c r="E17" s="140" t="s">
        <v>61</v>
      </c>
      <c r="F17" s="107"/>
      <c r="G17" s="107"/>
      <c r="H17" s="128"/>
      <c r="I17" s="141">
        <f>SUM(I15)</f>
        <v>247273.28599999996</v>
      </c>
      <c r="J17" s="201"/>
      <c r="K17" s="143">
        <f>SUM(K15)</f>
        <v>108.94920118786403</v>
      </c>
      <c r="L17" s="142"/>
      <c r="M17" s="144">
        <f>SUM(M15)</f>
        <v>10.121627758069867</v>
      </c>
      <c r="N17" s="145"/>
    </row>
    <row r="18" spans="1:14" ht="12.75">
      <c r="A18" s="109"/>
      <c r="B18" s="109"/>
      <c r="C18" s="107"/>
      <c r="D18" s="107"/>
      <c r="E18" s="107"/>
      <c r="F18" s="107"/>
      <c r="G18" s="107"/>
      <c r="H18" s="128"/>
      <c r="I18" s="146"/>
      <c r="J18" s="146"/>
      <c r="K18" s="134"/>
      <c r="L18" s="135"/>
      <c r="M18" s="136"/>
      <c r="N18" s="137"/>
    </row>
    <row r="19" spans="1:14" ht="12.75">
      <c r="A19" s="109"/>
      <c r="B19" s="138" t="s">
        <v>62</v>
      </c>
      <c r="C19" s="121" t="s">
        <v>63</v>
      </c>
      <c r="D19" s="107"/>
      <c r="E19" s="107"/>
      <c r="F19" s="107"/>
      <c r="G19" s="107"/>
      <c r="H19" s="128"/>
      <c r="I19" s="146"/>
      <c r="J19" s="146"/>
      <c r="K19" s="134"/>
      <c r="L19" s="135"/>
      <c r="M19" s="136"/>
      <c r="N19" s="137"/>
    </row>
    <row r="20" spans="1:14" ht="12.75">
      <c r="A20" s="109"/>
      <c r="B20" s="109"/>
      <c r="C20" s="147" t="s">
        <v>64</v>
      </c>
      <c r="D20" s="147" t="s">
        <v>65</v>
      </c>
      <c r="E20" s="107"/>
      <c r="F20" s="107"/>
      <c r="G20" s="107"/>
      <c r="H20" s="148"/>
      <c r="I20" s="139">
        <f>Frame!I53</f>
        <v>170293.27999999997</v>
      </c>
      <c r="J20" s="139"/>
      <c r="K20" s="134">
        <f aca="true" t="shared" si="0" ref="K20:K26">I20/$L$6</f>
        <v>75.0316264396683</v>
      </c>
      <c r="L20" s="135"/>
      <c r="M20" s="136">
        <f aca="true" t="shared" si="1" ref="M20:M26">SUM(K20/10.764)</f>
        <v>6.970608179084755</v>
      </c>
      <c r="N20" s="137"/>
    </row>
    <row r="21" spans="1:14" ht="12.75">
      <c r="A21" s="109"/>
      <c r="B21" s="109"/>
      <c r="C21" s="147" t="s">
        <v>66</v>
      </c>
      <c r="D21" s="147" t="s">
        <v>67</v>
      </c>
      <c r="E21" s="107"/>
      <c r="F21" s="107"/>
      <c r="G21" s="107"/>
      <c r="H21" s="148"/>
      <c r="I21" s="139">
        <f>'Upper floors'!I50</f>
        <v>228637.5</v>
      </c>
      <c r="J21" s="139"/>
      <c r="K21" s="134">
        <f t="shared" si="0"/>
        <v>100.73822930710868</v>
      </c>
      <c r="L21" s="135"/>
      <c r="M21" s="136">
        <f t="shared" si="1"/>
        <v>9.358809857590922</v>
      </c>
      <c r="N21" s="137"/>
    </row>
    <row r="22" spans="1:14" ht="12.75">
      <c r="A22" s="109"/>
      <c r="B22" s="109"/>
      <c r="C22" s="147" t="s">
        <v>68</v>
      </c>
      <c r="D22" s="147" t="s">
        <v>69</v>
      </c>
      <c r="E22" s="107"/>
      <c r="F22" s="107"/>
      <c r="G22" s="107"/>
      <c r="H22" s="128"/>
      <c r="I22" s="139">
        <f>Roof!I45</f>
        <v>122834.90000000001</v>
      </c>
      <c r="J22" s="139"/>
      <c r="K22" s="134">
        <f t="shared" si="0"/>
        <v>54.121350710691665</v>
      </c>
      <c r="L22" s="135"/>
      <c r="M22" s="136">
        <f t="shared" si="1"/>
        <v>5.027996164129661</v>
      </c>
      <c r="N22" s="137"/>
    </row>
    <row r="23" spans="1:14" ht="12.75">
      <c r="A23" s="109"/>
      <c r="B23" s="109"/>
      <c r="C23" s="147" t="s">
        <v>70</v>
      </c>
      <c r="D23" s="147" t="s">
        <v>71</v>
      </c>
      <c r="E23" s="107"/>
      <c r="F23" s="107"/>
      <c r="G23" s="107"/>
      <c r="H23" s="128"/>
      <c r="I23" s="139">
        <f>Stairs!I40</f>
        <v>85550</v>
      </c>
      <c r="J23" s="139"/>
      <c r="K23" s="134">
        <f t="shared" si="0"/>
        <v>37.693534600505814</v>
      </c>
      <c r="L23" s="135"/>
      <c r="M23" s="136">
        <f t="shared" si="1"/>
        <v>3.5018148086683216</v>
      </c>
      <c r="N23" s="137"/>
    </row>
    <row r="24" spans="1:14" ht="12.75">
      <c r="A24" s="109"/>
      <c r="B24" s="109"/>
      <c r="C24" s="147" t="s">
        <v>72</v>
      </c>
      <c r="D24" s="147" t="s">
        <v>73</v>
      </c>
      <c r="E24" s="107"/>
      <c r="F24" s="107"/>
      <c r="G24" s="107"/>
      <c r="H24" s="148"/>
      <c r="I24" s="139">
        <f>'External walls,Doors and Window'!I50</f>
        <v>728217.86275</v>
      </c>
      <c r="J24" s="139"/>
      <c r="K24" s="134">
        <f t="shared" si="0"/>
        <v>320.8545319260493</v>
      </c>
      <c r="L24" s="135"/>
      <c r="M24" s="136">
        <f t="shared" si="1"/>
        <v>29.808113333895328</v>
      </c>
      <c r="N24" s="137"/>
    </row>
    <row r="25" spans="1:14" ht="12.75">
      <c r="A25" s="109"/>
      <c r="B25" s="109"/>
      <c r="C25" s="147" t="s">
        <v>74</v>
      </c>
      <c r="D25" s="147" t="s">
        <v>75</v>
      </c>
      <c r="E25" s="107"/>
      <c r="F25" s="107"/>
      <c r="G25" s="107"/>
      <c r="H25" s="148"/>
      <c r="I25" s="139">
        <f>'Internal walls'!I43</f>
        <v>101584.16</v>
      </c>
      <c r="J25" s="139"/>
      <c r="K25" s="134">
        <f t="shared" si="0"/>
        <v>44.75822384363903</v>
      </c>
      <c r="L25" s="135"/>
      <c r="M25" s="136">
        <f t="shared" si="1"/>
        <v>4.158140453701137</v>
      </c>
      <c r="N25" s="137"/>
    </row>
    <row r="26" spans="1:14" ht="12.75">
      <c r="A26" s="109"/>
      <c r="B26" s="109"/>
      <c r="C26" s="147" t="s">
        <v>76</v>
      </c>
      <c r="D26" s="149" t="s">
        <v>77</v>
      </c>
      <c r="E26" s="107"/>
      <c r="F26" s="107"/>
      <c r="G26" s="107"/>
      <c r="H26" s="148"/>
      <c r="I26" s="139">
        <f>'Internal doors'!I43</f>
        <v>41850</v>
      </c>
      <c r="J26" s="139"/>
      <c r="K26" s="134">
        <f t="shared" si="0"/>
        <v>18.439210088032358</v>
      </c>
      <c r="L26" s="135"/>
      <c r="M26" s="136">
        <f t="shared" si="1"/>
        <v>1.7130444154619433</v>
      </c>
      <c r="N26" s="137"/>
    </row>
    <row r="27" spans="1:14" ht="12.75">
      <c r="A27" s="109"/>
      <c r="B27" s="109"/>
      <c r="C27" s="107"/>
      <c r="D27" s="107"/>
      <c r="E27" s="107"/>
      <c r="F27" s="107"/>
      <c r="G27" s="107"/>
      <c r="H27" s="128"/>
      <c r="I27" s="146"/>
      <c r="J27" s="146"/>
      <c r="K27" s="134"/>
      <c r="L27" s="135"/>
      <c r="M27" s="136"/>
      <c r="N27" s="137"/>
    </row>
    <row r="28" spans="1:14" ht="12.75">
      <c r="A28" s="109"/>
      <c r="B28" s="109"/>
      <c r="C28" s="107"/>
      <c r="D28" s="140"/>
      <c r="E28" s="140" t="s">
        <v>61</v>
      </c>
      <c r="F28" s="107"/>
      <c r="G28" s="107"/>
      <c r="H28" s="128"/>
      <c r="I28" s="141">
        <f>SUM(I20:I26)</f>
        <v>1478967.70275</v>
      </c>
      <c r="J28" s="201"/>
      <c r="K28" s="143">
        <f>SUM(K20:K26)</f>
        <v>651.6367069156952</v>
      </c>
      <c r="L28" s="142"/>
      <c r="M28" s="144">
        <f>SUM(M20:M26)</f>
        <v>60.53852721253207</v>
      </c>
      <c r="N28" s="137"/>
    </row>
    <row r="29" spans="1:14" ht="12.75">
      <c r="A29" s="109"/>
      <c r="B29" s="109"/>
      <c r="C29" s="107"/>
      <c r="D29" s="107"/>
      <c r="E29" s="107"/>
      <c r="F29" s="107"/>
      <c r="G29" s="107"/>
      <c r="H29" s="128"/>
      <c r="I29" s="146"/>
      <c r="J29" s="146"/>
      <c r="K29" s="134"/>
      <c r="L29" s="135"/>
      <c r="M29" s="136"/>
      <c r="N29" s="137"/>
    </row>
    <row r="30" spans="1:14" ht="12.75">
      <c r="A30" s="109"/>
      <c r="B30" s="138" t="s">
        <v>78</v>
      </c>
      <c r="C30" s="121" t="s">
        <v>79</v>
      </c>
      <c r="D30" s="150"/>
      <c r="E30" s="151"/>
      <c r="F30" s="107"/>
      <c r="G30" s="107"/>
      <c r="H30" s="128"/>
      <c r="I30" s="146"/>
      <c r="J30" s="146"/>
      <c r="K30" s="134"/>
      <c r="L30" s="135"/>
      <c r="M30" s="136"/>
      <c r="N30" s="137"/>
    </row>
    <row r="31" spans="1:14" ht="12.75">
      <c r="A31" s="109"/>
      <c r="B31" s="109"/>
      <c r="C31" s="147" t="s">
        <v>80</v>
      </c>
      <c r="D31" s="147" t="s">
        <v>81</v>
      </c>
      <c r="E31" s="107"/>
      <c r="F31" s="107"/>
      <c r="G31" s="107"/>
      <c r="H31" s="128"/>
      <c r="I31" s="139">
        <f>'Wall finishes'!I42</f>
        <v>53076.270650000006</v>
      </c>
      <c r="J31" s="139"/>
      <c r="K31" s="134">
        <f>I31/$L$6</f>
        <v>23.385531785056532</v>
      </c>
      <c r="L31" s="135"/>
      <c r="M31" s="136">
        <f>SUM(K31/10.764)</f>
        <v>2.1725689135132416</v>
      </c>
      <c r="N31" s="137"/>
    </row>
    <row r="32" spans="1:14" ht="12.75">
      <c r="A32" s="109"/>
      <c r="B32" s="109"/>
      <c r="C32" s="147" t="s">
        <v>82</v>
      </c>
      <c r="D32" s="147" t="s">
        <v>83</v>
      </c>
      <c r="E32" s="107"/>
      <c r="F32" s="107"/>
      <c r="G32" s="107"/>
      <c r="H32" s="128"/>
      <c r="I32" s="139">
        <f>'Floor finishes'!I52</f>
        <v>126265.14</v>
      </c>
      <c r="J32" s="139"/>
      <c r="K32" s="134">
        <f>I32/$L$6</f>
        <v>55.632722658418594</v>
      </c>
      <c r="L32" s="135"/>
      <c r="M32" s="136">
        <f>SUM(K32/10.764)</f>
        <v>5.168406044074563</v>
      </c>
      <c r="N32" s="137"/>
    </row>
    <row r="33" spans="1:14" ht="12.75">
      <c r="A33" s="109"/>
      <c r="B33" s="109"/>
      <c r="C33" s="147" t="s">
        <v>84</v>
      </c>
      <c r="D33" s="147" t="s">
        <v>85</v>
      </c>
      <c r="E33" s="107"/>
      <c r="F33" s="107"/>
      <c r="G33" s="107"/>
      <c r="H33" s="128"/>
      <c r="I33" s="139">
        <f>'Ceiling finishes'!I32</f>
        <v>49963.75</v>
      </c>
      <c r="J33" s="139"/>
      <c r="K33" s="134">
        <f>I33/$L$6</f>
        <v>22.01414774279395</v>
      </c>
      <c r="L33" s="135"/>
      <c r="M33" s="136">
        <f>SUM(K33/10.764)</f>
        <v>2.0451642273127044</v>
      </c>
      <c r="N33" s="137"/>
    </row>
    <row r="34" spans="1:14" ht="12.75">
      <c r="A34" s="109"/>
      <c r="B34" s="109"/>
      <c r="C34" s="107"/>
      <c r="D34" s="107"/>
      <c r="E34" s="107"/>
      <c r="F34" s="107"/>
      <c r="G34" s="107"/>
      <c r="H34" s="128"/>
      <c r="I34" s="146"/>
      <c r="J34" s="146"/>
      <c r="K34" s="134"/>
      <c r="L34" s="135"/>
      <c r="M34" s="136"/>
      <c r="N34" s="137"/>
    </row>
    <row r="35" spans="1:14" ht="12.75">
      <c r="A35" s="109"/>
      <c r="B35" s="109"/>
      <c r="C35" s="107"/>
      <c r="D35" s="140"/>
      <c r="E35" s="140" t="s">
        <v>61</v>
      </c>
      <c r="F35" s="107"/>
      <c r="G35" s="107"/>
      <c r="H35" s="128"/>
      <c r="I35" s="141">
        <f>SUM(I31:I33)</f>
        <v>229305.16065</v>
      </c>
      <c r="J35" s="201"/>
      <c r="K35" s="143">
        <f>SUM(K31:K33)</f>
        <v>101.03240218626908</v>
      </c>
      <c r="L35" s="142"/>
      <c r="M35" s="144">
        <f>SUM(M31:M33)</f>
        <v>9.386139184900507</v>
      </c>
      <c r="N35" s="137"/>
    </row>
    <row r="36" spans="1:14" ht="12.75">
      <c r="A36" s="109"/>
      <c r="B36" s="109"/>
      <c r="C36" s="107"/>
      <c r="D36" s="107"/>
      <c r="E36" s="107"/>
      <c r="F36" s="107"/>
      <c r="G36" s="107"/>
      <c r="H36" s="128"/>
      <c r="I36" s="146"/>
      <c r="J36" s="202"/>
      <c r="K36" s="134"/>
      <c r="L36" s="135"/>
      <c r="M36" s="136"/>
      <c r="N36" s="137"/>
    </row>
    <row r="37" spans="1:14" ht="12.75">
      <c r="A37" s="109"/>
      <c r="B37" s="138" t="s">
        <v>86</v>
      </c>
      <c r="C37" s="121" t="s">
        <v>87</v>
      </c>
      <c r="D37" s="107"/>
      <c r="E37" s="107"/>
      <c r="F37" s="107"/>
      <c r="G37" s="107"/>
      <c r="H37" s="128"/>
      <c r="I37" s="139">
        <f>Fittings!I38</f>
        <v>82657.5</v>
      </c>
      <c r="J37" s="203"/>
      <c r="K37" s="134">
        <f>I37/$L$6</f>
        <v>36.41909218283237</v>
      </c>
      <c r="L37" s="135"/>
      <c r="M37" s="136">
        <f>SUM(K37/10.764)</f>
        <v>3.3834162191408748</v>
      </c>
      <c r="N37" s="137"/>
    </row>
    <row r="38" spans="1:14" ht="12.75">
      <c r="A38" s="109"/>
      <c r="B38" s="109"/>
      <c r="C38" s="107"/>
      <c r="D38" s="107"/>
      <c r="E38" s="107"/>
      <c r="F38" s="107"/>
      <c r="G38" s="107"/>
      <c r="H38" s="128"/>
      <c r="I38" s="146"/>
      <c r="J38" s="202"/>
      <c r="K38" s="134"/>
      <c r="L38" s="135"/>
      <c r="M38" s="136"/>
      <c r="N38" s="137"/>
    </row>
    <row r="39" spans="1:14" ht="12.75">
      <c r="A39" s="109"/>
      <c r="B39" s="109"/>
      <c r="C39" s="107"/>
      <c r="D39" s="140"/>
      <c r="E39" s="140" t="s">
        <v>61</v>
      </c>
      <c r="F39" s="107"/>
      <c r="G39" s="107"/>
      <c r="H39" s="128"/>
      <c r="I39" s="141">
        <f>I37</f>
        <v>82657.5</v>
      </c>
      <c r="J39" s="201"/>
      <c r="K39" s="143">
        <f>SUM(K37)</f>
        <v>36.41909218283237</v>
      </c>
      <c r="L39" s="142"/>
      <c r="M39" s="144">
        <f>SUM(M37)</f>
        <v>3.3834162191408748</v>
      </c>
      <c r="N39" s="137"/>
    </row>
    <row r="40" spans="1:14" ht="12.75">
      <c r="A40" s="109"/>
      <c r="B40" s="109"/>
      <c r="C40" s="107"/>
      <c r="D40" s="107"/>
      <c r="E40" s="107"/>
      <c r="F40" s="107"/>
      <c r="G40" s="107"/>
      <c r="H40" s="128"/>
      <c r="I40" s="146"/>
      <c r="J40" s="146"/>
      <c r="K40" s="134"/>
      <c r="L40" s="135"/>
      <c r="M40" s="136"/>
      <c r="N40" s="137"/>
    </row>
    <row r="41" spans="1:14" ht="12.75">
      <c r="A41" s="109"/>
      <c r="B41" s="138" t="s">
        <v>88</v>
      </c>
      <c r="C41" s="121" t="s">
        <v>89</v>
      </c>
      <c r="D41" s="107"/>
      <c r="E41" s="107"/>
      <c r="F41" s="107"/>
      <c r="G41" s="107"/>
      <c r="H41" s="128"/>
      <c r="I41" s="146"/>
      <c r="J41" s="146"/>
      <c r="K41" s="134"/>
      <c r="L41" s="135"/>
      <c r="M41" s="136"/>
      <c r="N41" s="137"/>
    </row>
    <row r="42" spans="1:14" ht="12.75">
      <c r="A42" s="109"/>
      <c r="B42" s="109"/>
      <c r="C42" s="147" t="s">
        <v>90</v>
      </c>
      <c r="D42" s="147" t="s">
        <v>91</v>
      </c>
      <c r="E42" s="107"/>
      <c r="F42" s="107"/>
      <c r="G42" s="107"/>
      <c r="H42" s="148" t="s">
        <v>92</v>
      </c>
      <c r="I42" s="139">
        <v>0</v>
      </c>
      <c r="J42" s="139"/>
      <c r="K42" s="134">
        <f aca="true" t="shared" si="2" ref="K42:K55">I42/$L$6</f>
        <v>0</v>
      </c>
      <c r="L42" s="135"/>
      <c r="M42" s="136">
        <f aca="true" t="shared" si="3" ref="M42:M55">SUM(K42/10.764)</f>
        <v>0</v>
      </c>
      <c r="N42" s="137"/>
    </row>
    <row r="43" spans="1:14" ht="12.75">
      <c r="A43" s="109"/>
      <c r="B43" s="109"/>
      <c r="C43" s="147" t="s">
        <v>93</v>
      </c>
      <c r="D43" s="147" t="s">
        <v>94</v>
      </c>
      <c r="E43" s="107"/>
      <c r="F43" s="107"/>
      <c r="G43" s="107"/>
      <c r="H43" s="148" t="s">
        <v>92</v>
      </c>
      <c r="I43" s="139">
        <v>0</v>
      </c>
      <c r="J43" s="139"/>
      <c r="K43" s="134">
        <f t="shared" si="2"/>
        <v>0</v>
      </c>
      <c r="L43" s="135"/>
      <c r="M43" s="136">
        <f t="shared" si="3"/>
        <v>0</v>
      </c>
      <c r="N43" s="137"/>
    </row>
    <row r="44" spans="1:14" ht="12.75">
      <c r="A44" s="109"/>
      <c r="B44" s="109"/>
      <c r="C44" s="147" t="s">
        <v>95</v>
      </c>
      <c r="D44" s="147" t="s">
        <v>96</v>
      </c>
      <c r="E44" s="107"/>
      <c r="F44" s="107"/>
      <c r="G44" s="107"/>
      <c r="H44" s="148" t="s">
        <v>92</v>
      </c>
      <c r="I44" s="139">
        <v>0</v>
      </c>
      <c r="J44" s="139"/>
      <c r="K44" s="134">
        <f t="shared" si="2"/>
        <v>0</v>
      </c>
      <c r="L44" s="135"/>
      <c r="M44" s="136">
        <f t="shared" si="3"/>
        <v>0</v>
      </c>
      <c r="N44" s="137"/>
    </row>
    <row r="45" spans="1:14" ht="12.75">
      <c r="A45" s="109"/>
      <c r="B45" s="109"/>
      <c r="C45" s="147" t="s">
        <v>97</v>
      </c>
      <c r="D45" s="147" t="s">
        <v>98</v>
      </c>
      <c r="E45" s="107"/>
      <c r="F45" s="107"/>
      <c r="G45" s="107"/>
      <c r="H45" s="148" t="s">
        <v>92</v>
      </c>
      <c r="I45" s="139">
        <v>0</v>
      </c>
      <c r="J45" s="139"/>
      <c r="K45" s="134">
        <f t="shared" si="2"/>
        <v>0</v>
      </c>
      <c r="L45" s="135"/>
      <c r="M45" s="136">
        <f t="shared" si="3"/>
        <v>0</v>
      </c>
      <c r="N45" s="137"/>
    </row>
    <row r="46" spans="1:14" ht="12.75">
      <c r="A46" s="109"/>
      <c r="B46" s="109"/>
      <c r="C46" s="147" t="s">
        <v>99</v>
      </c>
      <c r="D46" s="147" t="s">
        <v>100</v>
      </c>
      <c r="E46" s="107"/>
      <c r="F46" s="107"/>
      <c r="G46" s="107"/>
      <c r="H46" s="148" t="s">
        <v>92</v>
      </c>
      <c r="I46" s="139">
        <v>0</v>
      </c>
      <c r="J46" s="139"/>
      <c r="K46" s="134">
        <f t="shared" si="2"/>
        <v>0</v>
      </c>
      <c r="L46" s="135"/>
      <c r="M46" s="136">
        <f t="shared" si="3"/>
        <v>0</v>
      </c>
      <c r="N46" s="137"/>
    </row>
    <row r="47" spans="1:14" ht="12.75">
      <c r="A47" s="109"/>
      <c r="B47" s="109"/>
      <c r="C47" s="147" t="s">
        <v>101</v>
      </c>
      <c r="D47" s="147" t="s">
        <v>102</v>
      </c>
      <c r="E47" s="107"/>
      <c r="F47" s="107"/>
      <c r="G47" s="107"/>
      <c r="H47" s="148" t="s">
        <v>92</v>
      </c>
      <c r="I47" s="139">
        <v>0</v>
      </c>
      <c r="J47" s="139"/>
      <c r="K47" s="134">
        <f t="shared" si="2"/>
        <v>0</v>
      </c>
      <c r="L47" s="135"/>
      <c r="M47" s="136">
        <f t="shared" si="3"/>
        <v>0</v>
      </c>
      <c r="N47" s="137"/>
    </row>
    <row r="48" spans="1:14" ht="12.75">
      <c r="A48" s="109"/>
      <c r="B48" s="109"/>
      <c r="C48" s="147" t="s">
        <v>103</v>
      </c>
      <c r="D48" s="147" t="s">
        <v>104</v>
      </c>
      <c r="E48" s="107"/>
      <c r="F48" s="107"/>
      <c r="G48" s="107"/>
      <c r="H48" s="148" t="s">
        <v>92</v>
      </c>
      <c r="I48" s="139">
        <f>Services!I72</f>
        <v>503631</v>
      </c>
      <c r="J48" s="139"/>
      <c r="K48" s="134">
        <f t="shared" si="2"/>
        <v>221.90102307875327</v>
      </c>
      <c r="L48" s="135"/>
      <c r="M48" s="136">
        <f t="shared" si="3"/>
        <v>20.615108052652666</v>
      </c>
      <c r="N48" s="137"/>
    </row>
    <row r="49" spans="1:14" ht="12.75">
      <c r="A49" s="109"/>
      <c r="B49" s="109"/>
      <c r="C49" s="147" t="s">
        <v>105</v>
      </c>
      <c r="D49" s="147" t="s">
        <v>106</v>
      </c>
      <c r="E49" s="107"/>
      <c r="F49" s="107"/>
      <c r="G49" s="107"/>
      <c r="H49" s="148" t="s">
        <v>92</v>
      </c>
      <c r="I49" s="139">
        <v>0</v>
      </c>
      <c r="J49" s="139"/>
      <c r="K49" s="134">
        <f t="shared" si="2"/>
        <v>0</v>
      </c>
      <c r="L49" s="135"/>
      <c r="M49" s="136">
        <f t="shared" si="3"/>
        <v>0</v>
      </c>
      <c r="N49" s="137"/>
    </row>
    <row r="50" spans="1:14" ht="12.75">
      <c r="A50" s="109"/>
      <c r="B50" s="109"/>
      <c r="C50" s="147" t="s">
        <v>107</v>
      </c>
      <c r="D50" s="147" t="s">
        <v>108</v>
      </c>
      <c r="E50" s="107"/>
      <c r="F50" s="107"/>
      <c r="G50" s="107"/>
      <c r="H50" s="148" t="s">
        <v>92</v>
      </c>
      <c r="I50" s="139">
        <v>0</v>
      </c>
      <c r="J50" s="139"/>
      <c r="K50" s="134">
        <f t="shared" si="2"/>
        <v>0</v>
      </c>
      <c r="L50" s="135"/>
      <c r="M50" s="136">
        <f t="shared" si="3"/>
        <v>0</v>
      </c>
      <c r="N50" s="137"/>
    </row>
    <row r="51" spans="1:14" ht="12.75">
      <c r="A51" s="109"/>
      <c r="B51" s="109"/>
      <c r="C51" s="147" t="s">
        <v>109</v>
      </c>
      <c r="D51" s="147" t="s">
        <v>110</v>
      </c>
      <c r="E51" s="107"/>
      <c r="F51" s="107"/>
      <c r="G51" s="107"/>
      <c r="H51" s="148" t="s">
        <v>92</v>
      </c>
      <c r="I51" s="139">
        <v>0</v>
      </c>
      <c r="J51" s="139"/>
      <c r="K51" s="134">
        <f t="shared" si="2"/>
        <v>0</v>
      </c>
      <c r="L51" s="135"/>
      <c r="M51" s="136">
        <f t="shared" si="3"/>
        <v>0</v>
      </c>
      <c r="N51" s="137"/>
    </row>
    <row r="52" spans="1:14" ht="12.75">
      <c r="A52" s="109"/>
      <c r="B52" s="109"/>
      <c r="C52" s="147" t="s">
        <v>111</v>
      </c>
      <c r="D52" s="147" t="s">
        <v>112</v>
      </c>
      <c r="E52" s="107"/>
      <c r="F52" s="107"/>
      <c r="G52" s="107"/>
      <c r="H52" s="148" t="s">
        <v>92</v>
      </c>
      <c r="I52" s="139">
        <v>0</v>
      </c>
      <c r="J52" s="139"/>
      <c r="K52" s="134">
        <f t="shared" si="2"/>
        <v>0</v>
      </c>
      <c r="L52" s="135"/>
      <c r="M52" s="136">
        <f t="shared" si="3"/>
        <v>0</v>
      </c>
      <c r="N52" s="137"/>
    </row>
    <row r="53" spans="1:14" ht="12.75">
      <c r="A53" s="109"/>
      <c r="B53" s="109"/>
      <c r="C53" s="147" t="s">
        <v>113</v>
      </c>
      <c r="D53" s="147" t="s">
        <v>114</v>
      </c>
      <c r="E53" s="107"/>
      <c r="F53" s="107"/>
      <c r="G53" s="107"/>
      <c r="H53" s="148" t="s">
        <v>92</v>
      </c>
      <c r="I53" s="139">
        <v>0</v>
      </c>
      <c r="J53" s="139"/>
      <c r="K53" s="134">
        <f t="shared" si="2"/>
        <v>0</v>
      </c>
      <c r="L53" s="135"/>
      <c r="M53" s="136">
        <f t="shared" si="3"/>
        <v>0</v>
      </c>
      <c r="N53" s="137"/>
    </row>
    <row r="54" spans="1:14" ht="12.75">
      <c r="A54" s="109"/>
      <c r="B54" s="109"/>
      <c r="C54" s="147" t="s">
        <v>115</v>
      </c>
      <c r="D54" s="147" t="s">
        <v>116</v>
      </c>
      <c r="E54" s="107"/>
      <c r="F54" s="107"/>
      <c r="G54" s="107"/>
      <c r="H54" s="148" t="s">
        <v>92</v>
      </c>
      <c r="I54" s="139">
        <v>0</v>
      </c>
      <c r="J54" s="139"/>
      <c r="K54" s="134">
        <f t="shared" si="2"/>
        <v>0</v>
      </c>
      <c r="L54" s="135"/>
      <c r="M54" s="136">
        <f t="shared" si="3"/>
        <v>0</v>
      </c>
      <c r="N54" s="137"/>
    </row>
    <row r="55" spans="1:14" ht="12.75">
      <c r="A55" s="109"/>
      <c r="B55" s="109"/>
      <c r="C55" s="147" t="s">
        <v>117</v>
      </c>
      <c r="D55" s="441" t="s">
        <v>151</v>
      </c>
      <c r="E55" s="442"/>
      <c r="F55" s="442"/>
      <c r="G55" s="442"/>
      <c r="H55" s="443"/>
      <c r="I55" s="139">
        <v>0</v>
      </c>
      <c r="J55" s="139"/>
      <c r="K55" s="134">
        <f t="shared" si="2"/>
        <v>0</v>
      </c>
      <c r="L55" s="135"/>
      <c r="M55" s="136">
        <f t="shared" si="3"/>
        <v>0</v>
      </c>
      <c r="N55" s="137"/>
    </row>
    <row r="56" spans="1:14" ht="12.75">
      <c r="A56" s="109"/>
      <c r="B56" s="109"/>
      <c r="C56" s="107"/>
      <c r="D56" s="107"/>
      <c r="E56" s="107"/>
      <c r="F56" s="107"/>
      <c r="G56" s="107"/>
      <c r="H56" s="128"/>
      <c r="I56" s="146"/>
      <c r="J56" s="146"/>
      <c r="K56" s="134"/>
      <c r="L56" s="135"/>
      <c r="M56" s="136"/>
      <c r="N56" s="137"/>
    </row>
    <row r="57" spans="1:14" ht="12.75">
      <c r="A57" s="109"/>
      <c r="B57" s="109"/>
      <c r="C57" s="107"/>
      <c r="D57" s="140"/>
      <c r="E57" s="140" t="s">
        <v>61</v>
      </c>
      <c r="F57" s="107"/>
      <c r="G57" s="107"/>
      <c r="H57" s="128"/>
      <c r="I57" s="141">
        <f>SUM(I42:I55)</f>
        <v>503631</v>
      </c>
      <c r="J57" s="201"/>
      <c r="K57" s="143">
        <f>SUM(I57)/L6</f>
        <v>221.90102307875327</v>
      </c>
      <c r="L57" s="142"/>
      <c r="M57" s="144">
        <f>SUM(K57)/10.7346</f>
        <v>20.671568859459438</v>
      </c>
      <c r="N57" s="137"/>
    </row>
    <row r="58" spans="1:14" ht="12.75">
      <c r="A58" s="109"/>
      <c r="B58" s="109"/>
      <c r="C58" s="107"/>
      <c r="D58" s="107"/>
      <c r="E58" s="107"/>
      <c r="F58" s="107"/>
      <c r="G58" s="107"/>
      <c r="H58" s="128"/>
      <c r="I58" s="146"/>
      <c r="J58" s="202"/>
      <c r="K58" s="134"/>
      <c r="L58" s="135"/>
      <c r="M58" s="136"/>
      <c r="N58" s="137"/>
    </row>
    <row r="59" spans="1:14" ht="12.75">
      <c r="A59" s="109"/>
      <c r="B59" s="109"/>
      <c r="C59" s="105" t="s">
        <v>118</v>
      </c>
      <c r="D59" s="107"/>
      <c r="E59" s="107"/>
      <c r="F59" s="107"/>
      <c r="G59" s="107"/>
      <c r="H59" s="128"/>
      <c r="I59" s="152">
        <f>I17+I28+I35+I39+I57</f>
        <v>2541834.6494</v>
      </c>
      <c r="J59" s="201"/>
      <c r="K59" s="153">
        <f>SUM(I59)/L6</f>
        <v>1119.938425551414</v>
      </c>
      <c r="L59" s="135"/>
      <c r="M59" s="154">
        <f>SUM(K59)/10.764</f>
        <v>104.044818427296</v>
      </c>
      <c r="N59" s="137"/>
    </row>
    <row r="60" spans="1:14" ht="12.75">
      <c r="A60" s="109"/>
      <c r="B60" s="138" t="s">
        <v>119</v>
      </c>
      <c r="C60" s="121" t="s">
        <v>120</v>
      </c>
      <c r="D60" s="107"/>
      <c r="E60" s="107"/>
      <c r="F60" s="107"/>
      <c r="G60" s="107"/>
      <c r="H60" s="128"/>
      <c r="I60" s="146"/>
      <c r="J60" s="202"/>
      <c r="K60" s="134"/>
      <c r="L60" s="135"/>
      <c r="M60" s="136"/>
      <c r="N60" s="137"/>
    </row>
    <row r="61" spans="1:14" ht="12.75">
      <c r="A61" s="109"/>
      <c r="B61" s="109"/>
      <c r="C61" s="147" t="s">
        <v>121</v>
      </c>
      <c r="D61" s="147" t="s">
        <v>211</v>
      </c>
      <c r="E61" s="107"/>
      <c r="F61" s="107"/>
      <c r="G61" s="107"/>
      <c r="H61" s="128"/>
      <c r="I61" s="139">
        <f>'Roads paths etc'!I49</f>
        <v>67634.54999999999</v>
      </c>
      <c r="J61" s="203"/>
      <c r="K61" s="134">
        <f>I61/$L$6</f>
        <v>29.799944484098656</v>
      </c>
      <c r="L61" s="135"/>
      <c r="M61" s="136">
        <f>SUM(K61/10.764)</f>
        <v>2.768482393543168</v>
      </c>
      <c r="N61" s="137"/>
    </row>
    <row r="62" spans="1:14" ht="12.75">
      <c r="A62" s="109"/>
      <c r="B62" s="109"/>
      <c r="C62" s="147" t="s">
        <v>122</v>
      </c>
      <c r="D62" s="147" t="s">
        <v>152</v>
      </c>
      <c r="E62" s="107"/>
      <c r="F62" s="107"/>
      <c r="G62" s="107"/>
      <c r="H62" s="128"/>
      <c r="I62" s="139">
        <f>Drainage!I48</f>
        <v>85219.99999999999</v>
      </c>
      <c r="J62" s="203"/>
      <c r="K62" s="134">
        <f>I62/$L$6</f>
        <v>37.54813581128118</v>
      </c>
      <c r="L62" s="135"/>
      <c r="M62" s="136">
        <f>SUM(K62/10.764)</f>
        <v>3.4883069315571515</v>
      </c>
      <c r="N62" s="137"/>
    </row>
    <row r="63" spans="1:14" ht="12.75">
      <c r="A63" s="109"/>
      <c r="B63" s="109"/>
      <c r="C63" s="147" t="s">
        <v>123</v>
      </c>
      <c r="D63" s="147" t="s">
        <v>153</v>
      </c>
      <c r="E63" s="107"/>
      <c r="F63" s="107"/>
      <c r="G63" s="107"/>
      <c r="H63" s="128"/>
      <c r="I63" s="139">
        <f>'External services'!I49</f>
        <v>71032.5</v>
      </c>
      <c r="J63" s="203"/>
      <c r="K63" s="134">
        <f>I63/$L$6</f>
        <v>31.29708938060116</v>
      </c>
      <c r="L63" s="135"/>
      <c r="M63" s="136">
        <f>SUM(K63/10.764)</f>
        <v>2.9075705481792236</v>
      </c>
      <c r="N63" s="137"/>
    </row>
    <row r="64" spans="1:14" ht="12.75">
      <c r="A64" s="109"/>
      <c r="B64" s="109"/>
      <c r="C64" s="147"/>
      <c r="D64" s="147"/>
      <c r="E64" s="107"/>
      <c r="F64" s="107"/>
      <c r="G64" s="107"/>
      <c r="H64" s="128"/>
      <c r="I64" s="139"/>
      <c r="J64" s="203"/>
      <c r="K64" s="134"/>
      <c r="L64" s="135"/>
      <c r="M64" s="136"/>
      <c r="N64" s="137"/>
    </row>
    <row r="65" spans="1:14" ht="12.75">
      <c r="A65" s="109"/>
      <c r="B65" s="109"/>
      <c r="C65" s="107"/>
      <c r="D65" s="140"/>
      <c r="E65" s="140" t="s">
        <v>61</v>
      </c>
      <c r="F65" s="107"/>
      <c r="G65" s="107"/>
      <c r="H65" s="128"/>
      <c r="I65" s="141">
        <f>SUM(I61:I63)</f>
        <v>223887.05</v>
      </c>
      <c r="J65" s="201"/>
      <c r="K65" s="143">
        <f>SUM(K61:K63)</f>
        <v>98.645169675981</v>
      </c>
      <c r="L65" s="135"/>
      <c r="M65" s="144">
        <f>SUM(M61:M63)</f>
        <v>9.164359873279544</v>
      </c>
      <c r="N65" s="137"/>
    </row>
    <row r="66" spans="1:14" ht="12.75">
      <c r="A66" s="109"/>
      <c r="B66" s="109"/>
      <c r="C66" s="107"/>
      <c r="D66" s="107"/>
      <c r="E66" s="107"/>
      <c r="F66" s="107"/>
      <c r="G66" s="107"/>
      <c r="H66" s="128"/>
      <c r="I66" s="146"/>
      <c r="J66" s="202"/>
      <c r="K66" s="134"/>
      <c r="L66" s="135"/>
      <c r="M66" s="136"/>
      <c r="N66" s="137"/>
    </row>
    <row r="67" spans="1:14" ht="12.75">
      <c r="A67" s="109"/>
      <c r="B67" s="109"/>
      <c r="C67" s="105" t="s">
        <v>124</v>
      </c>
      <c r="D67" s="107"/>
      <c r="E67" s="107"/>
      <c r="F67" s="107"/>
      <c r="G67" s="107"/>
      <c r="H67" s="128"/>
      <c r="I67" s="155">
        <f>I65</f>
        <v>223887.05</v>
      </c>
      <c r="J67" s="201"/>
      <c r="K67" s="156">
        <f>K65</f>
        <v>98.645169675981</v>
      </c>
      <c r="L67" s="142"/>
      <c r="M67" s="157">
        <f>M65</f>
        <v>9.164359873279544</v>
      </c>
      <c r="N67" s="137"/>
    </row>
    <row r="68" spans="1:14" ht="12.75">
      <c r="A68" s="109"/>
      <c r="B68" s="109"/>
      <c r="C68" s="105" t="s">
        <v>415</v>
      </c>
      <c r="D68" s="107"/>
      <c r="E68" s="107"/>
      <c r="F68" s="107"/>
      <c r="G68" s="107"/>
      <c r="H68" s="128"/>
      <c r="I68" s="152">
        <f>I59+I67</f>
        <v>2765721.6994</v>
      </c>
      <c r="J68" s="201"/>
      <c r="K68" s="153">
        <f>K59+K67</f>
        <v>1218.5835952273949</v>
      </c>
      <c r="L68" s="142"/>
      <c r="M68" s="154">
        <f>M59+M67</f>
        <v>113.20917830057553</v>
      </c>
      <c r="N68" s="137"/>
    </row>
    <row r="69" spans="1:14" ht="12.75">
      <c r="A69" s="109"/>
      <c r="B69" s="109"/>
      <c r="C69" s="105"/>
      <c r="D69" s="107"/>
      <c r="E69" s="107"/>
      <c r="F69" s="107"/>
      <c r="G69" s="107"/>
      <c r="H69" s="128"/>
      <c r="I69" s="152"/>
      <c r="J69" s="201"/>
      <c r="K69" s="153"/>
      <c r="L69" s="142"/>
      <c r="M69" s="154"/>
      <c r="N69" s="137"/>
    </row>
    <row r="70" spans="1:14" ht="12.75">
      <c r="A70" s="109"/>
      <c r="B70" s="138" t="s">
        <v>434</v>
      </c>
      <c r="C70" s="107"/>
      <c r="D70" s="107"/>
      <c r="E70" s="107"/>
      <c r="F70" s="158"/>
      <c r="G70" s="162"/>
      <c r="H70" s="159"/>
      <c r="I70" s="152">
        <f>'[1]Green Sheet'!$F$32</f>
        <v>523352.5</v>
      </c>
      <c r="J70" s="201"/>
      <c r="K70" s="160">
        <f>I70/$L$6</f>
        <v>230.59036314449116</v>
      </c>
      <c r="L70" s="135"/>
      <c r="M70" s="161">
        <f>SUM(K70/10.764)</f>
        <v>21.422367441888813</v>
      </c>
      <c r="N70" s="137"/>
    </row>
    <row r="71" spans="1:14" ht="12.75">
      <c r="A71" s="109"/>
      <c r="B71" s="104" t="s">
        <v>127</v>
      </c>
      <c r="C71" s="107"/>
      <c r="D71" s="107"/>
      <c r="E71" s="107"/>
      <c r="F71" s="107"/>
      <c r="G71" s="162">
        <v>0.08</v>
      </c>
      <c r="H71" s="128"/>
      <c r="I71" s="197">
        <f>SUM(I68+I70+I73+I72)*G71</f>
        <v>290188.8227496</v>
      </c>
      <c r="J71" s="204"/>
      <c r="K71" s="160">
        <f>I71/$L$6</f>
        <v>127.85788931609697</v>
      </c>
      <c r="L71" s="142"/>
      <c r="M71" s="161">
        <f>SUM(K71/10.764)</f>
        <v>11.878287747686453</v>
      </c>
      <c r="N71" s="137"/>
    </row>
    <row r="72" spans="1:14" ht="12.75">
      <c r="A72" s="109"/>
      <c r="B72" s="104" t="s">
        <v>433</v>
      </c>
      <c r="C72" s="107"/>
      <c r="D72" s="107"/>
      <c r="E72" s="107"/>
      <c r="F72" s="107"/>
      <c r="G72" s="107"/>
      <c r="H72" s="128"/>
      <c r="I72" s="196">
        <v>200000</v>
      </c>
      <c r="J72" s="205"/>
      <c r="K72" s="160">
        <f>I72/$L$6</f>
        <v>88.12047831795631</v>
      </c>
      <c r="L72" s="142"/>
      <c r="M72" s="161">
        <f>SUM(K72/10.764)</f>
        <v>8.186592188587543</v>
      </c>
      <c r="N72" s="137"/>
    </row>
    <row r="73" spans="1:14" ht="13.5" thickBot="1">
      <c r="A73" s="109"/>
      <c r="B73" s="104" t="s">
        <v>125</v>
      </c>
      <c r="C73" s="107"/>
      <c r="D73" s="107"/>
      <c r="E73" s="107"/>
      <c r="F73" s="162"/>
      <c r="G73" s="162">
        <v>0.05</v>
      </c>
      <c r="H73" s="128"/>
      <c r="I73" s="288">
        <f>I68*G73</f>
        <v>138286.08497</v>
      </c>
      <c r="J73" s="201"/>
      <c r="K73" s="163">
        <f>I73/$L$6</f>
        <v>60.929179761369745</v>
      </c>
      <c r="L73" s="142"/>
      <c r="M73" s="164">
        <f>SUM(K73/10.764)</f>
        <v>5.6604589150287765</v>
      </c>
      <c r="N73" s="137"/>
    </row>
    <row r="74" spans="1:14" ht="12.75">
      <c r="A74" s="109"/>
      <c r="B74" s="104" t="s">
        <v>126</v>
      </c>
      <c r="C74" s="107"/>
      <c r="D74" s="107"/>
      <c r="E74" s="107"/>
      <c r="F74" s="107"/>
      <c r="G74" s="107"/>
      <c r="H74" s="128"/>
      <c r="I74" s="152">
        <f>SUM(I68:I73)</f>
        <v>3917549.1071196</v>
      </c>
      <c r="J74" s="201"/>
      <c r="K74" s="153">
        <f>SUM(K68:K73)</f>
        <v>1726.0815057673092</v>
      </c>
      <c r="L74" s="142"/>
      <c r="M74" s="154">
        <f>SUM(M68:M73)</f>
        <v>160.35688459376712</v>
      </c>
      <c r="N74" s="137"/>
    </row>
    <row r="75" spans="1:14" ht="13.5" thickBot="1">
      <c r="A75" s="109"/>
      <c r="B75" s="104"/>
      <c r="C75" s="107"/>
      <c r="D75" s="107"/>
      <c r="E75" s="107"/>
      <c r="F75" s="107"/>
      <c r="G75" s="107"/>
      <c r="H75" s="128"/>
      <c r="I75" s="165"/>
      <c r="J75" s="206"/>
      <c r="K75" s="166"/>
      <c r="L75" s="107"/>
      <c r="M75" s="167"/>
      <c r="N75" s="108"/>
    </row>
    <row r="76" spans="1:14" ht="13.5" thickBot="1">
      <c r="A76" s="109"/>
      <c r="B76" s="109"/>
      <c r="C76" s="107"/>
      <c r="D76" s="107"/>
      <c r="E76" s="107"/>
      <c r="F76" s="107"/>
      <c r="G76" s="107"/>
      <c r="H76" s="128"/>
      <c r="I76" s="168"/>
      <c r="J76" s="107"/>
      <c r="K76" s="169"/>
      <c r="L76" s="107"/>
      <c r="M76" s="170"/>
      <c r="N76" s="108"/>
    </row>
    <row r="77" spans="1:14" ht="14.25" thickBot="1" thickTop="1">
      <c r="A77" s="171"/>
      <c r="B77" s="172"/>
      <c r="C77" s="172"/>
      <c r="D77" s="172"/>
      <c r="E77" s="172"/>
      <c r="F77" s="172"/>
      <c r="G77" s="172"/>
      <c r="H77" s="172"/>
      <c r="I77" s="173"/>
      <c r="J77" s="172"/>
      <c r="K77" s="172"/>
      <c r="L77" s="172"/>
      <c r="M77" s="172" t="s">
        <v>8</v>
      </c>
      <c r="N77" s="174"/>
    </row>
    <row r="78" ht="13.5" thickTop="1"/>
  </sheetData>
  <sheetProtection/>
  <mergeCells count="1">
    <mergeCell ref="D55:H55"/>
  </mergeCells>
  <printOptions/>
  <pageMargins left="0.75" right="0.75" top="1" bottom="1" header="0.5" footer="0.5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R46"/>
  <sheetViews>
    <sheetView workbookViewId="0" topLeftCell="A1">
      <selection activeCell="B6" sqref="B6:I34"/>
    </sheetView>
  </sheetViews>
  <sheetFormatPr defaultColWidth="9.140625" defaultRowHeight="12.75"/>
  <cols>
    <col min="1" max="1" width="3.7109375" style="0" customWidth="1"/>
    <col min="3" max="3" width="12.7109375" style="0" customWidth="1"/>
    <col min="4" max="4" width="33.421875" style="0" customWidth="1"/>
    <col min="5" max="5" width="5.7109375" style="0" customWidth="1"/>
    <col min="6" max="6" width="9.421875" style="0" bestFit="1" customWidth="1"/>
    <col min="7" max="7" width="13.00390625" style="0" bestFit="1" customWidth="1"/>
    <col min="8" max="8" width="10.00390625" style="0" customWidth="1"/>
    <col min="9" max="9" width="13.140625" style="0" customWidth="1"/>
    <col min="11" max="11" width="11.28125" style="0" bestFit="1" customWidth="1"/>
    <col min="13" max="13" width="9.421875" style="0" customWidth="1"/>
    <col min="14" max="14" width="11.28125" style="0" bestFit="1" customWidth="1"/>
    <col min="15" max="15" width="5.421875" style="0" customWidth="1"/>
    <col min="17" max="17" width="9.28125" style="0" bestFit="1" customWidth="1"/>
    <col min="18" max="18" width="10.28125" style="0" bestFit="1" customWidth="1"/>
  </cols>
  <sheetData>
    <row r="1" spans="1:9" ht="12.75">
      <c r="A1" s="67" t="s">
        <v>10</v>
      </c>
      <c r="B1" s="76"/>
      <c r="C1" s="76"/>
      <c r="D1" s="68" t="s">
        <v>39</v>
      </c>
      <c r="E1" s="76"/>
      <c r="F1" s="76"/>
      <c r="G1" s="76"/>
      <c r="H1" s="76"/>
      <c r="I1" s="77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16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5" t="s">
        <v>2</v>
      </c>
      <c r="J3" s="227"/>
      <c r="K3" s="215"/>
      <c r="L3" s="1"/>
      <c r="M3" s="1"/>
      <c r="N3" s="1"/>
      <c r="O3" s="1"/>
      <c r="P3" s="1"/>
    </row>
    <row r="4" spans="1:17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L4" s="214" t="s">
        <v>289</v>
      </c>
      <c r="M4" s="214"/>
      <c r="N4" s="214"/>
      <c r="O4" s="215" t="s">
        <v>156</v>
      </c>
      <c r="P4" s="1">
        <f>14.4*9.6</f>
        <v>138.24</v>
      </c>
      <c r="Q4" t="s">
        <v>224</v>
      </c>
    </row>
    <row r="5" spans="1:17" ht="12.75">
      <c r="A5" s="9"/>
      <c r="B5" s="95"/>
      <c r="C5" s="33"/>
      <c r="D5" s="33"/>
      <c r="E5" s="6"/>
      <c r="F5" s="8"/>
      <c r="G5" s="12"/>
      <c r="H5" s="22"/>
      <c r="I5" s="187"/>
      <c r="J5" s="3"/>
      <c r="K5" s="1"/>
      <c r="L5" s="1"/>
      <c r="M5" s="1"/>
      <c r="N5" s="1"/>
      <c r="O5" s="1"/>
      <c r="P5" s="1"/>
      <c r="Q5" s="272" t="s">
        <v>161</v>
      </c>
    </row>
    <row r="6" spans="2:18" ht="12.75">
      <c r="B6" s="33" t="s">
        <v>292</v>
      </c>
      <c r="C6" s="33"/>
      <c r="D6" s="33"/>
      <c r="E6" s="6" t="s">
        <v>163</v>
      </c>
      <c r="F6" s="8">
        <v>1</v>
      </c>
      <c r="G6" s="12">
        <v>8000</v>
      </c>
      <c r="H6" s="22">
        <f>I6/'BCIS Smmary'!$L$6</f>
        <v>3.5248191327182528</v>
      </c>
      <c r="I6" s="187">
        <f aca="true" t="shared" si="0" ref="I6:I21">F6*G6</f>
        <v>8000</v>
      </c>
      <c r="J6" s="3"/>
      <c r="K6" s="1" t="s">
        <v>158</v>
      </c>
      <c r="L6" s="217"/>
      <c r="M6" s="1" t="s">
        <v>421</v>
      </c>
      <c r="N6" s="1"/>
      <c r="O6" s="1" t="s">
        <v>164</v>
      </c>
      <c r="P6" s="1"/>
      <c r="Q6" s="94">
        <v>0</v>
      </c>
      <c r="R6" s="94">
        <f>P6*Q6</f>
        <v>0</v>
      </c>
    </row>
    <row r="7" spans="5:18" ht="12.75">
      <c r="E7" s="6"/>
      <c r="F7" s="8">
        <v>0</v>
      </c>
      <c r="G7" s="12">
        <v>0</v>
      </c>
      <c r="H7" s="22">
        <f>I7/'BCIS Smmary'!$L$6</f>
        <v>0</v>
      </c>
      <c r="I7" s="187">
        <f t="shared" si="0"/>
        <v>0</v>
      </c>
      <c r="J7" s="3"/>
      <c r="K7" s="1"/>
      <c r="L7" s="217"/>
      <c r="M7" s="1"/>
      <c r="N7" s="1"/>
      <c r="O7" s="1"/>
      <c r="P7" s="1"/>
      <c r="Q7" s="94"/>
      <c r="R7" s="94"/>
    </row>
    <row r="8" spans="2:18" ht="12.75">
      <c r="B8" t="s">
        <v>307</v>
      </c>
      <c r="E8" s="6" t="s">
        <v>223</v>
      </c>
      <c r="F8" s="8">
        <v>144.45</v>
      </c>
      <c r="G8" s="12">
        <v>5</v>
      </c>
      <c r="H8" s="22">
        <f>I8/'BCIS Smmary'!$L$6</f>
        <v>0.31822507732571975</v>
      </c>
      <c r="I8" s="187">
        <f t="shared" si="0"/>
        <v>722.25</v>
      </c>
      <c r="J8" s="3"/>
      <c r="K8" s="1" t="s">
        <v>422</v>
      </c>
      <c r="L8" s="217"/>
      <c r="M8" s="1"/>
      <c r="N8" s="1"/>
      <c r="O8" s="1" t="s">
        <v>165</v>
      </c>
      <c r="P8" s="1">
        <v>18</v>
      </c>
      <c r="Q8" s="94">
        <v>1750</v>
      </c>
      <c r="R8" s="94">
        <f>P8*Q8</f>
        <v>31500</v>
      </c>
    </row>
    <row r="9" spans="5:10" ht="12.75">
      <c r="E9" s="6"/>
      <c r="F9" s="8">
        <v>0</v>
      </c>
      <c r="G9" s="12">
        <v>0</v>
      </c>
      <c r="H9" s="22">
        <f>I9/'BCIS Smmary'!$L$6</f>
        <v>0</v>
      </c>
      <c r="I9" s="187">
        <f t="shared" si="0"/>
        <v>0</v>
      </c>
      <c r="J9" s="3"/>
    </row>
    <row r="10" spans="2:18" ht="12.75">
      <c r="B10" t="s">
        <v>308</v>
      </c>
      <c r="E10" s="6" t="s">
        <v>163</v>
      </c>
      <c r="F10" s="8">
        <v>1</v>
      </c>
      <c r="G10" s="12">
        <v>500</v>
      </c>
      <c r="H10" s="22">
        <f>I10/'BCIS Smmary'!$L$6</f>
        <v>0.2203011957948908</v>
      </c>
      <c r="I10" s="187">
        <f t="shared" si="0"/>
        <v>500</v>
      </c>
      <c r="J10" s="3"/>
      <c r="K10" t="s">
        <v>162</v>
      </c>
      <c r="O10" s="1" t="s">
        <v>165</v>
      </c>
      <c r="P10">
        <v>12</v>
      </c>
      <c r="Q10" s="94">
        <v>750</v>
      </c>
      <c r="R10" s="94">
        <f>P10*Q10</f>
        <v>9000</v>
      </c>
    </row>
    <row r="11" spans="5:10" ht="12.75">
      <c r="E11" s="6"/>
      <c r="F11" s="8">
        <v>0</v>
      </c>
      <c r="G11" s="12">
        <v>0</v>
      </c>
      <c r="H11" s="22">
        <f>I11/'BCIS Smmary'!$L$6</f>
        <v>0</v>
      </c>
      <c r="I11" s="187">
        <f t="shared" si="0"/>
        <v>0</v>
      </c>
      <c r="J11" s="3"/>
    </row>
    <row r="12" spans="2:18" ht="12.75">
      <c r="B12" t="s">
        <v>309</v>
      </c>
      <c r="E12" s="6" t="s">
        <v>164</v>
      </c>
      <c r="F12" s="8">
        <f>SUM(Areas!Q15+Areas!T18)*0.63</f>
        <v>314.3259</v>
      </c>
      <c r="G12" s="12">
        <v>40</v>
      </c>
      <c r="H12" s="22">
        <f>I12/'BCIS Smmary'!$L$6</f>
        <v>5.539709731144421</v>
      </c>
      <c r="I12" s="187">
        <f t="shared" si="0"/>
        <v>12573.036</v>
      </c>
      <c r="J12" s="3"/>
      <c r="K12" s="1" t="s">
        <v>159</v>
      </c>
      <c r="L12" s="187"/>
      <c r="M12" s="1" t="s">
        <v>290</v>
      </c>
      <c r="N12" s="1"/>
      <c r="O12" s="1" t="s">
        <v>155</v>
      </c>
      <c r="P12" s="1">
        <f>14.4*2</f>
        <v>28.8</v>
      </c>
      <c r="Q12" s="94">
        <v>150</v>
      </c>
      <c r="R12" s="94">
        <f>P12*Q12</f>
        <v>4320</v>
      </c>
    </row>
    <row r="13" spans="5:18" ht="12.75">
      <c r="E13" s="6"/>
      <c r="F13" s="8">
        <v>0</v>
      </c>
      <c r="G13" s="12">
        <v>0</v>
      </c>
      <c r="H13" s="22">
        <f>I13/'BCIS Smmary'!$L$6</f>
        <v>0</v>
      </c>
      <c r="I13" s="187">
        <f t="shared" si="0"/>
        <v>0</v>
      </c>
      <c r="J13" s="3"/>
      <c r="K13" s="1"/>
      <c r="L13" s="187"/>
      <c r="M13" s="1" t="s">
        <v>291</v>
      </c>
      <c r="N13" s="1"/>
      <c r="O13" s="1" t="s">
        <v>155</v>
      </c>
      <c r="P13" s="29">
        <f>9.6*3</f>
        <v>28.799999999999997</v>
      </c>
      <c r="Q13" s="94">
        <v>150</v>
      </c>
      <c r="R13" s="94">
        <f>P13*Q13</f>
        <v>4320</v>
      </c>
    </row>
    <row r="14" spans="2:18" ht="12.75">
      <c r="B14" t="s">
        <v>310</v>
      </c>
      <c r="E14" s="6" t="s">
        <v>223</v>
      </c>
      <c r="F14" s="8">
        <v>70.01</v>
      </c>
      <c r="G14" s="12">
        <v>150</v>
      </c>
      <c r="H14" s="22">
        <f>I14/'BCIS Smmary'!$L$6</f>
        <v>4.6269860152800915</v>
      </c>
      <c r="I14" s="187">
        <f t="shared" si="0"/>
        <v>10501.5</v>
      </c>
      <c r="J14" s="3"/>
      <c r="K14" s="1"/>
      <c r="L14" s="187"/>
      <c r="M14" s="1"/>
      <c r="N14" s="1"/>
      <c r="O14" s="1"/>
      <c r="P14" s="1"/>
      <c r="Q14" s="94"/>
      <c r="R14" s="94"/>
    </row>
    <row r="15" spans="5:18" ht="12.75">
      <c r="E15" s="6"/>
      <c r="F15" s="8">
        <v>0</v>
      </c>
      <c r="G15" s="12">
        <v>0</v>
      </c>
      <c r="H15" s="22">
        <f>I15/'BCIS Smmary'!$L$6</f>
        <v>0</v>
      </c>
      <c r="I15" s="187">
        <f t="shared" si="0"/>
        <v>0</v>
      </c>
      <c r="J15" s="226"/>
      <c r="K15" s="1" t="s">
        <v>160</v>
      </c>
      <c r="L15" s="187"/>
      <c r="M15" s="1"/>
      <c r="N15" s="1"/>
      <c r="O15" s="1" t="s">
        <v>36</v>
      </c>
      <c r="P15" s="29">
        <f>14.4*9.6</f>
        <v>138.24</v>
      </c>
      <c r="Q15" s="94">
        <v>35</v>
      </c>
      <c r="R15" s="94">
        <f>P15*Q15</f>
        <v>4838.400000000001</v>
      </c>
    </row>
    <row r="16" spans="2:10" ht="12.75">
      <c r="B16" t="s">
        <v>311</v>
      </c>
      <c r="E16" s="6" t="s">
        <v>223</v>
      </c>
      <c r="F16" s="8">
        <v>10</v>
      </c>
      <c r="G16" s="12">
        <v>750</v>
      </c>
      <c r="H16" s="22">
        <f>I16/'BCIS Smmary'!$L$6</f>
        <v>3.3045179369233617</v>
      </c>
      <c r="I16" s="187">
        <f t="shared" si="0"/>
        <v>7500</v>
      </c>
      <c r="J16" s="3"/>
    </row>
    <row r="17" spans="5:18" ht="12.75">
      <c r="E17" s="6"/>
      <c r="F17" s="8">
        <v>0</v>
      </c>
      <c r="G17" s="12">
        <v>0</v>
      </c>
      <c r="H17" s="22">
        <f>I17/'BCIS Smmary'!$L$6</f>
        <v>0</v>
      </c>
      <c r="I17" s="187">
        <f t="shared" si="0"/>
        <v>0</v>
      </c>
      <c r="J17" s="3"/>
      <c r="K17" t="s">
        <v>294</v>
      </c>
      <c r="O17" s="1" t="s">
        <v>36</v>
      </c>
      <c r="P17">
        <f>14.4*9.6</f>
        <v>138.24</v>
      </c>
      <c r="Q17" s="94">
        <v>7.5</v>
      </c>
      <c r="R17" s="94">
        <f>P17*Q17</f>
        <v>1036.8000000000002</v>
      </c>
    </row>
    <row r="18" spans="2:10" ht="12.75">
      <c r="B18" t="s">
        <v>312</v>
      </c>
      <c r="E18" s="6" t="s">
        <v>36</v>
      </c>
      <c r="F18" s="8">
        <f>Areas!D13</f>
        <v>34.58</v>
      </c>
      <c r="G18" s="12">
        <v>475</v>
      </c>
      <c r="H18" s="22">
        <f>I18/'BCIS Smmary'!$L$6</f>
        <v>7.2371145830579575</v>
      </c>
      <c r="I18" s="187">
        <f t="shared" si="0"/>
        <v>16425.5</v>
      </c>
      <c r="J18" s="3"/>
    </row>
    <row r="19" spans="5:18" ht="12.75">
      <c r="E19" s="6"/>
      <c r="F19" s="8">
        <v>0</v>
      </c>
      <c r="G19" s="12">
        <v>0</v>
      </c>
      <c r="H19" s="22">
        <f>I19/'BCIS Smmary'!$L$6</f>
        <v>0</v>
      </c>
      <c r="I19" s="187">
        <f t="shared" si="0"/>
        <v>0</v>
      </c>
      <c r="J19" s="226"/>
      <c r="K19" t="s">
        <v>313</v>
      </c>
      <c r="O19" s="1" t="s">
        <v>36</v>
      </c>
      <c r="P19">
        <f>14.4*9.6</f>
        <v>138.24</v>
      </c>
      <c r="Q19" s="94">
        <v>8</v>
      </c>
      <c r="R19" s="94">
        <f>P19*Q19</f>
        <v>1105.92</v>
      </c>
    </row>
    <row r="20" spans="5:18" ht="12.75">
      <c r="E20" s="6"/>
      <c r="F20" s="8">
        <v>0</v>
      </c>
      <c r="G20" s="12">
        <v>0</v>
      </c>
      <c r="H20" s="22">
        <f>I20/'BCIS Smmary'!$L$6</f>
        <v>0</v>
      </c>
      <c r="I20" s="187">
        <f t="shared" si="0"/>
        <v>0</v>
      </c>
      <c r="J20" s="226"/>
      <c r="K20" s="1"/>
      <c r="L20" s="187"/>
      <c r="M20" s="1"/>
      <c r="N20" s="1"/>
      <c r="O20" s="1"/>
      <c r="P20" s="1"/>
      <c r="Q20" s="94"/>
      <c r="R20" s="94"/>
    </row>
    <row r="21" spans="5:18" ht="12.75">
      <c r="E21" s="6"/>
      <c r="F21" s="8">
        <v>0</v>
      </c>
      <c r="G21" s="12">
        <v>0</v>
      </c>
      <c r="H21" s="22">
        <f>I21/'BCIS Smmary'!$L$6</f>
        <v>0</v>
      </c>
      <c r="I21" s="187">
        <f t="shared" si="0"/>
        <v>0</v>
      </c>
      <c r="J21" s="3"/>
      <c r="K21" s="1"/>
      <c r="L21" s="187"/>
      <c r="M21" s="1"/>
      <c r="N21" s="1"/>
      <c r="O21" s="1"/>
      <c r="P21" s="1"/>
      <c r="Q21" s="94" t="s">
        <v>136</v>
      </c>
      <c r="R21" s="176">
        <f>SUM(R6:R20)</f>
        <v>56121.12</v>
      </c>
    </row>
    <row r="22" spans="1:18" ht="12.75">
      <c r="A22" s="9"/>
      <c r="B22" s="33" t="s">
        <v>414</v>
      </c>
      <c r="C22" s="33"/>
      <c r="D22" s="33"/>
      <c r="E22" s="6" t="s">
        <v>36</v>
      </c>
      <c r="F22" s="8">
        <f>Areas!Q15</f>
        <v>411.02</v>
      </c>
      <c r="G22" s="12">
        <v>410</v>
      </c>
      <c r="H22" s="22">
        <f>I22/'BCIS Smmary'!L6</f>
        <v>74.24952194640512</v>
      </c>
      <c r="I22" s="187">
        <f aca="true" t="shared" si="1" ref="I22:I29">F22*G22</f>
        <v>168518.19999999998</v>
      </c>
      <c r="J22" s="3"/>
      <c r="K22" s="1"/>
      <c r="L22" s="187"/>
      <c r="M22" s="1"/>
      <c r="N22" s="1"/>
      <c r="O22" s="1"/>
      <c r="P22" s="1"/>
      <c r="Q22" s="94"/>
      <c r="R22" s="94"/>
    </row>
    <row r="23" spans="1:18" ht="12.75">
      <c r="A23" s="9"/>
      <c r="B23" s="33"/>
      <c r="C23" s="33"/>
      <c r="D23" s="33"/>
      <c r="E23" s="6"/>
      <c r="F23" s="8">
        <v>0</v>
      </c>
      <c r="G23" s="12">
        <v>0</v>
      </c>
      <c r="H23" s="22">
        <f>I23/'BCIS Smmary'!L6</f>
        <v>0</v>
      </c>
      <c r="I23" s="187">
        <f t="shared" si="1"/>
        <v>0</v>
      </c>
      <c r="J23" s="3"/>
      <c r="K23" s="1"/>
      <c r="L23" s="187"/>
      <c r="M23" s="1"/>
      <c r="N23" s="1"/>
      <c r="O23" s="1"/>
      <c r="P23" s="1" t="s">
        <v>166</v>
      </c>
      <c r="Q23" s="94"/>
      <c r="R23" s="176">
        <f>R21/P4</f>
        <v>405.96875</v>
      </c>
    </row>
    <row r="24" spans="1:16" ht="12.75">
      <c r="A24" s="9"/>
      <c r="B24" s="33" t="s">
        <v>400</v>
      </c>
      <c r="C24" s="33"/>
      <c r="D24" s="33"/>
      <c r="E24" s="6" t="s">
        <v>266</v>
      </c>
      <c r="F24" s="8">
        <v>1</v>
      </c>
      <c r="G24" s="12">
        <v>5000</v>
      </c>
      <c r="H24" s="22">
        <f>I24/'BCIS Smmary'!$L$6</f>
        <v>2.203011957948908</v>
      </c>
      <c r="I24" s="187">
        <f>F24*G24</f>
        <v>5000</v>
      </c>
      <c r="J24" s="3"/>
      <c r="K24" s="1"/>
      <c r="L24" s="1"/>
      <c r="M24" s="1"/>
      <c r="N24" s="1"/>
      <c r="O24" s="1"/>
      <c r="P24" s="1"/>
    </row>
    <row r="25" spans="1:10" ht="12.75">
      <c r="A25" s="9"/>
      <c r="B25" s="33"/>
      <c r="C25" s="33"/>
      <c r="D25" s="33"/>
      <c r="E25" s="6"/>
      <c r="F25" s="8">
        <v>0</v>
      </c>
      <c r="G25" s="12">
        <v>0</v>
      </c>
      <c r="H25" s="22">
        <f>I25/'BCIS Smmary'!$L$6</f>
        <v>0</v>
      </c>
      <c r="I25" s="187">
        <f t="shared" si="1"/>
        <v>0</v>
      </c>
      <c r="J25" s="3"/>
    </row>
    <row r="26" spans="1:16" ht="12.75">
      <c r="A26" s="9"/>
      <c r="B26" s="33" t="s">
        <v>215</v>
      </c>
      <c r="C26" s="33"/>
      <c r="E26" s="6" t="s">
        <v>165</v>
      </c>
      <c r="F26" s="8">
        <v>1</v>
      </c>
      <c r="G26" s="12">
        <v>3500</v>
      </c>
      <c r="H26" s="22">
        <f>I26/'BCIS Smmary'!$L$6</f>
        <v>1.5421083705642356</v>
      </c>
      <c r="I26" s="187">
        <f t="shared" si="1"/>
        <v>3500</v>
      </c>
      <c r="J26" s="3"/>
      <c r="K26" s="1"/>
      <c r="L26" s="217"/>
      <c r="M26" s="1"/>
      <c r="N26" s="1"/>
      <c r="O26" s="1"/>
      <c r="P26" s="1"/>
    </row>
    <row r="27" spans="1:16" ht="12.75">
      <c r="A27" s="9"/>
      <c r="B27" s="33"/>
      <c r="C27" s="33"/>
      <c r="D27" s="33"/>
      <c r="E27" s="26"/>
      <c r="F27" s="8">
        <v>0</v>
      </c>
      <c r="G27" s="12">
        <v>0</v>
      </c>
      <c r="H27" s="22">
        <f>I27/'BCIS Smmary'!$L$6</f>
        <v>0</v>
      </c>
      <c r="I27" s="187">
        <f t="shared" si="1"/>
        <v>0</v>
      </c>
      <c r="J27" s="3"/>
      <c r="K27" s="1"/>
      <c r="L27" s="1"/>
      <c r="M27" s="1"/>
      <c r="N27" s="1"/>
      <c r="O27" s="1"/>
      <c r="P27" s="1"/>
    </row>
    <row r="28" spans="1:16" ht="12.75">
      <c r="A28" s="9"/>
      <c r="B28" s="33" t="s">
        <v>216</v>
      </c>
      <c r="C28" s="33"/>
      <c r="D28" s="33"/>
      <c r="E28" s="6" t="s">
        <v>165</v>
      </c>
      <c r="F28" s="8">
        <v>3</v>
      </c>
      <c r="G28" s="12">
        <v>1500</v>
      </c>
      <c r="H28" s="22">
        <f>I28/'BCIS Smmary'!$L$6</f>
        <v>1.982710762154017</v>
      </c>
      <c r="I28" s="187">
        <f t="shared" si="1"/>
        <v>4500</v>
      </c>
      <c r="J28" s="226"/>
      <c r="K28" s="1"/>
      <c r="L28" s="1"/>
      <c r="M28" s="1"/>
      <c r="N28" s="1"/>
      <c r="O28" s="1"/>
      <c r="P28" s="1"/>
    </row>
    <row r="29" spans="1:16" ht="12.75">
      <c r="A29" s="9"/>
      <c r="B29" s="33"/>
      <c r="C29" s="33"/>
      <c r="D29" s="33"/>
      <c r="E29" s="6"/>
      <c r="F29" s="8">
        <v>0</v>
      </c>
      <c r="G29" s="12">
        <v>0</v>
      </c>
      <c r="H29" s="22">
        <f>I29/'BCIS Smmary'!$L$6</f>
        <v>0</v>
      </c>
      <c r="I29" s="187">
        <f t="shared" si="1"/>
        <v>0</v>
      </c>
      <c r="J29" s="3"/>
      <c r="K29" s="1"/>
      <c r="L29" s="1"/>
      <c r="M29" s="1"/>
      <c r="N29" s="1"/>
      <c r="O29" s="1"/>
      <c r="P29" s="1"/>
    </row>
    <row r="30" spans="1:16" ht="12.75">
      <c r="A30" s="9"/>
      <c r="B30" s="33" t="s">
        <v>293</v>
      </c>
      <c r="C30" s="33"/>
      <c r="D30" s="33"/>
      <c r="E30" s="6" t="s">
        <v>36</v>
      </c>
      <c r="F30" s="8">
        <f>Areas!T18</f>
        <v>87.91</v>
      </c>
      <c r="G30" s="12">
        <v>80</v>
      </c>
      <c r="H30" s="22">
        <f>I30/'BCIS Smmary'!$L$6</f>
        <v>3.0986684995726157</v>
      </c>
      <c r="I30" s="187">
        <f aca="true" t="shared" si="2" ref="I30:I45">F30*G30</f>
        <v>7032.799999999999</v>
      </c>
      <c r="J30" s="3"/>
      <c r="K30" s="1"/>
      <c r="L30" s="217"/>
      <c r="M30" s="217"/>
      <c r="N30" s="217"/>
      <c r="O30" s="217"/>
      <c r="P30" s="1"/>
    </row>
    <row r="31" spans="1:16" ht="12.75">
      <c r="A31" s="9"/>
      <c r="B31" s="33"/>
      <c r="C31" s="33"/>
      <c r="D31" s="46"/>
      <c r="E31" s="6"/>
      <c r="F31" s="8">
        <v>0</v>
      </c>
      <c r="G31" s="12">
        <v>0</v>
      </c>
      <c r="H31" s="22">
        <f>I31/'BCIS Smmary'!$L$6</f>
        <v>0</v>
      </c>
      <c r="I31" s="187">
        <f t="shared" si="2"/>
        <v>0</v>
      </c>
      <c r="J31" s="3"/>
      <c r="K31" s="1"/>
      <c r="L31" s="1"/>
      <c r="M31" s="217"/>
      <c r="N31" s="217"/>
      <c r="O31" s="217"/>
      <c r="P31" s="1"/>
    </row>
    <row r="32" spans="1:16" ht="12.75">
      <c r="A32" s="9"/>
      <c r="B32" s="33" t="s">
        <v>326</v>
      </c>
      <c r="C32" s="33"/>
      <c r="D32" s="33"/>
      <c r="E32" s="6" t="s">
        <v>165</v>
      </c>
      <c r="F32" s="8">
        <v>3</v>
      </c>
      <c r="G32" s="12">
        <v>500</v>
      </c>
      <c r="H32" s="22">
        <f>I32/'BCIS Smmary'!$L$6</f>
        <v>0.6609035873846724</v>
      </c>
      <c r="I32" s="187">
        <f t="shared" si="2"/>
        <v>1500</v>
      </c>
      <c r="J32" s="3"/>
      <c r="K32" s="1"/>
      <c r="L32" s="1"/>
      <c r="M32" s="217"/>
      <c r="N32" s="217"/>
      <c r="O32" s="217"/>
      <c r="P32" s="1"/>
    </row>
    <row r="33" spans="1:16" ht="12.75">
      <c r="A33" s="9"/>
      <c r="B33" s="33"/>
      <c r="C33" s="33"/>
      <c r="D33" s="33"/>
      <c r="E33" s="6"/>
      <c r="F33" s="8">
        <v>0</v>
      </c>
      <c r="G33" s="12">
        <v>0</v>
      </c>
      <c r="H33" s="22">
        <f>I33/'BCIS Smmary'!$L$6</f>
        <v>0</v>
      </c>
      <c r="I33" s="187">
        <f t="shared" si="2"/>
        <v>0</v>
      </c>
      <c r="J33" s="3"/>
      <c r="K33" s="1"/>
      <c r="L33" s="1"/>
      <c r="M33" s="1"/>
      <c r="N33" s="1"/>
      <c r="O33" s="1"/>
      <c r="P33" s="1"/>
    </row>
    <row r="34" spans="1:16" ht="12.75">
      <c r="A34" s="9"/>
      <c r="B34" s="33" t="s">
        <v>327</v>
      </c>
      <c r="C34" s="33"/>
      <c r="D34" s="33"/>
      <c r="E34" s="6" t="s">
        <v>165</v>
      </c>
      <c r="F34" s="8">
        <v>2</v>
      </c>
      <c r="G34" s="12">
        <v>500</v>
      </c>
      <c r="H34" s="22">
        <f>I34/'BCIS Smmary'!$L$6</f>
        <v>0.4406023915897816</v>
      </c>
      <c r="I34" s="187">
        <f t="shared" si="2"/>
        <v>1000</v>
      </c>
      <c r="J34" s="3"/>
      <c r="K34" s="1"/>
      <c r="L34" s="1"/>
      <c r="M34" s="1"/>
      <c r="N34" s="1"/>
      <c r="O34" s="1"/>
      <c r="P34" s="1"/>
    </row>
    <row r="35" spans="1:10" ht="12.75">
      <c r="A35" s="9"/>
      <c r="E35" s="6"/>
      <c r="F35" s="8">
        <v>0</v>
      </c>
      <c r="G35" s="12">
        <v>0</v>
      </c>
      <c r="H35" s="22">
        <f>I35/'BCIS Smmary'!$L$6</f>
        <v>0</v>
      </c>
      <c r="I35" s="187">
        <f t="shared" si="2"/>
        <v>0</v>
      </c>
      <c r="J35" s="3"/>
    </row>
    <row r="36" spans="1:10" ht="12.75">
      <c r="A36" s="9"/>
      <c r="B36" s="33"/>
      <c r="C36" s="33"/>
      <c r="D36" s="33"/>
      <c r="E36" s="6"/>
      <c r="F36" s="8">
        <v>0</v>
      </c>
      <c r="G36" s="12">
        <v>0</v>
      </c>
      <c r="H36" s="22">
        <f>I36/'BCIS Smmary'!$L$6</f>
        <v>0</v>
      </c>
      <c r="I36" s="187">
        <f t="shared" si="2"/>
        <v>0</v>
      </c>
      <c r="J36" s="3"/>
    </row>
    <row r="37" spans="1:10" ht="12.75">
      <c r="A37" s="9"/>
      <c r="B37" s="33"/>
      <c r="C37" s="33"/>
      <c r="D37" s="33"/>
      <c r="E37" s="6"/>
      <c r="F37" s="8">
        <v>0</v>
      </c>
      <c r="G37" s="12">
        <v>0</v>
      </c>
      <c r="H37" s="22">
        <f>I37/'BCIS Smmary'!$L$6</f>
        <v>0</v>
      </c>
      <c r="I37" s="187">
        <f t="shared" si="2"/>
        <v>0</v>
      </c>
      <c r="J37" s="3"/>
    </row>
    <row r="38" spans="1:10" ht="12.75">
      <c r="A38" s="9"/>
      <c r="B38" s="33"/>
      <c r="C38" s="33"/>
      <c r="D38" s="33"/>
      <c r="E38" s="6"/>
      <c r="F38" s="8">
        <v>0</v>
      </c>
      <c r="G38" s="12">
        <v>0</v>
      </c>
      <c r="H38" s="22">
        <f>I38/'BCIS Smmary'!$L$6</f>
        <v>0</v>
      </c>
      <c r="I38" s="187">
        <f t="shared" si="2"/>
        <v>0</v>
      </c>
      <c r="J38" s="3"/>
    </row>
    <row r="39" spans="1:10" ht="12.75">
      <c r="A39" s="9"/>
      <c r="B39" s="33"/>
      <c r="C39" s="33"/>
      <c r="D39" s="33"/>
      <c r="E39" s="6"/>
      <c r="F39" s="8">
        <v>0</v>
      </c>
      <c r="G39" s="12">
        <v>0</v>
      </c>
      <c r="H39" s="22">
        <f>I39/'BCIS Smmary'!$L$6</f>
        <v>0</v>
      </c>
      <c r="I39" s="187">
        <f t="shared" si="2"/>
        <v>0</v>
      </c>
      <c r="J39" s="3"/>
    </row>
    <row r="40" spans="1:10" ht="12.75">
      <c r="A40" s="9"/>
      <c r="B40" s="33"/>
      <c r="C40" s="33"/>
      <c r="D40" s="33"/>
      <c r="E40" s="6"/>
      <c r="F40" s="8">
        <v>0</v>
      </c>
      <c r="G40" s="12">
        <v>0</v>
      </c>
      <c r="H40" s="22">
        <f>I40/'BCIS Smmary'!$L$6</f>
        <v>0</v>
      </c>
      <c r="I40" s="187">
        <f t="shared" si="2"/>
        <v>0</v>
      </c>
      <c r="J40" s="3"/>
    </row>
    <row r="41" spans="1:10" ht="12.75">
      <c r="A41" s="9"/>
      <c r="B41" s="33"/>
      <c r="C41" s="33"/>
      <c r="D41" s="33"/>
      <c r="E41" s="6"/>
      <c r="F41" s="8">
        <v>0</v>
      </c>
      <c r="G41" s="12">
        <v>0</v>
      </c>
      <c r="H41" s="22">
        <f>I41/'BCIS Smmary'!$L$6</f>
        <v>0</v>
      </c>
      <c r="I41" s="187">
        <f t="shared" si="2"/>
        <v>0</v>
      </c>
      <c r="J41" s="3"/>
    </row>
    <row r="42" spans="1:10" ht="12.75">
      <c r="A42" s="9"/>
      <c r="B42" s="33"/>
      <c r="C42" s="33"/>
      <c r="D42" s="33"/>
      <c r="E42" s="6"/>
      <c r="F42" s="8">
        <v>0</v>
      </c>
      <c r="G42" s="12">
        <v>0</v>
      </c>
      <c r="H42" s="22">
        <f>I42/'BCIS Smmary'!$L$6</f>
        <v>0</v>
      </c>
      <c r="I42" s="187">
        <f t="shared" si="2"/>
        <v>0</v>
      </c>
      <c r="J42" s="3"/>
    </row>
    <row r="43" spans="1:10" ht="12.75">
      <c r="A43" s="9"/>
      <c r="B43" s="33"/>
      <c r="C43" s="33"/>
      <c r="D43" s="33"/>
      <c r="E43" s="6"/>
      <c r="F43" s="8">
        <v>0</v>
      </c>
      <c r="G43" s="12">
        <v>0</v>
      </c>
      <c r="H43" s="22">
        <f>I43/'BCIS Smmary'!$L$6</f>
        <v>0</v>
      </c>
      <c r="I43" s="187">
        <f t="shared" si="2"/>
        <v>0</v>
      </c>
      <c r="J43" s="3"/>
    </row>
    <row r="44" spans="1:10" ht="12.75">
      <c r="A44" s="9"/>
      <c r="B44" s="33"/>
      <c r="C44" s="33"/>
      <c r="D44" s="33"/>
      <c r="E44" s="6"/>
      <c r="F44" s="8">
        <v>0</v>
      </c>
      <c r="G44" s="12">
        <v>0</v>
      </c>
      <c r="H44" s="22">
        <f>I44/'BCIS Smmary'!$L$6</f>
        <v>0</v>
      </c>
      <c r="I44" s="187">
        <f t="shared" si="2"/>
        <v>0</v>
      </c>
      <c r="J44" s="3"/>
    </row>
    <row r="45" spans="1:10" ht="12.75">
      <c r="A45" s="9"/>
      <c r="B45" s="33"/>
      <c r="C45" s="33"/>
      <c r="D45" s="33"/>
      <c r="E45" s="6"/>
      <c r="F45" s="8">
        <v>0</v>
      </c>
      <c r="G45" s="12">
        <v>0</v>
      </c>
      <c r="H45" s="22">
        <f>I45/'BCIS Smmary'!$L$6</f>
        <v>0</v>
      </c>
      <c r="I45" s="187">
        <f t="shared" si="2"/>
        <v>0</v>
      </c>
      <c r="J45" s="3"/>
    </row>
    <row r="46" spans="1:10" ht="12.75">
      <c r="A46" s="18" t="s">
        <v>46</v>
      </c>
      <c r="B46" s="13"/>
      <c r="C46" s="13"/>
      <c r="D46" s="13"/>
      <c r="E46" s="18"/>
      <c r="F46" s="25"/>
      <c r="G46" s="24"/>
      <c r="H46" s="177">
        <f>I46/'BCIS Smmary'!$L$6</f>
        <v>108.94920118786403</v>
      </c>
      <c r="I46" s="220">
        <f>SUM(I5:I45)</f>
        <v>247273.28599999996</v>
      </c>
      <c r="J46" s="3"/>
    </row>
  </sheetData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Footer>&amp;L&amp;D  &amp;T&amp;C4
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5"/>
  <sheetViews>
    <sheetView workbookViewId="0" topLeftCell="A1">
      <selection activeCell="B6" sqref="B6:I19"/>
    </sheetView>
  </sheetViews>
  <sheetFormatPr defaultColWidth="9.140625" defaultRowHeight="12.75"/>
  <cols>
    <col min="1" max="1" width="3.7109375" style="0" customWidth="1"/>
    <col min="3" max="3" width="10.28125" style="0" bestFit="1" customWidth="1"/>
    <col min="4" max="4" width="23.140625" style="0" customWidth="1"/>
    <col min="5" max="5" width="6.57421875" style="0" customWidth="1"/>
    <col min="6" max="6" width="10.140625" style="0" bestFit="1" customWidth="1"/>
    <col min="7" max="7" width="12.8515625" style="0" bestFit="1" customWidth="1"/>
    <col min="8" max="8" width="12.00390625" style="0" bestFit="1" customWidth="1"/>
    <col min="9" max="9" width="13.140625" style="0" customWidth="1"/>
  </cols>
  <sheetData>
    <row r="1" spans="1:9" ht="12.75">
      <c r="A1" s="57" t="s">
        <v>10</v>
      </c>
      <c r="B1" s="58"/>
      <c r="C1" s="58"/>
      <c r="D1" s="59" t="s">
        <v>40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15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5" t="s">
        <v>2</v>
      </c>
      <c r="J3" s="3"/>
      <c r="K3" s="1"/>
      <c r="L3" s="1"/>
      <c r="M3" s="1"/>
      <c r="N3" s="1"/>
      <c r="O3" s="1"/>
    </row>
    <row r="4" spans="1:15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  <c r="O4" s="1"/>
    </row>
    <row r="5" spans="1:15" ht="12.75">
      <c r="A5" s="9"/>
      <c r="B5" s="33"/>
      <c r="C5" s="33"/>
      <c r="D5" s="33"/>
      <c r="E5" s="6"/>
      <c r="F5" s="8"/>
      <c r="G5" s="12"/>
      <c r="H5" s="22">
        <v>0</v>
      </c>
      <c r="I5" s="187">
        <f aca="true" t="shared" si="0" ref="I5:I40">F5*G5</f>
        <v>0</v>
      </c>
      <c r="J5" s="3"/>
      <c r="K5" s="1"/>
      <c r="L5" s="1"/>
      <c r="M5" s="1"/>
      <c r="N5" s="1"/>
      <c r="O5" s="1"/>
    </row>
    <row r="6" spans="1:15" ht="12.75">
      <c r="A6" s="9"/>
      <c r="B6" s="33" t="s">
        <v>319</v>
      </c>
      <c r="C6" s="33"/>
      <c r="D6" s="33"/>
      <c r="E6" s="6" t="s">
        <v>240</v>
      </c>
      <c r="F6" s="8">
        <f>D9</f>
        <v>120.22559999999997</v>
      </c>
      <c r="G6" s="12">
        <v>1200</v>
      </c>
      <c r="H6" s="22">
        <f>I6/'BCIS Smmary'!$L$6</f>
        <v>63.56602426837972</v>
      </c>
      <c r="I6" s="187">
        <f t="shared" si="0"/>
        <v>144270.71999999997</v>
      </c>
      <c r="J6" s="3"/>
      <c r="K6" s="1"/>
      <c r="L6" s="217"/>
      <c r="M6" s="1"/>
      <c r="N6" s="1"/>
      <c r="O6" s="1"/>
    </row>
    <row r="7" spans="1:15" ht="12.75">
      <c r="A7" s="9"/>
      <c r="B7" s="33" t="s">
        <v>238</v>
      </c>
      <c r="C7" s="33"/>
      <c r="D7" s="33"/>
      <c r="E7" s="6"/>
      <c r="F7" s="8">
        <v>0</v>
      </c>
      <c r="G7" s="12">
        <v>0</v>
      </c>
      <c r="H7" s="22">
        <f>I7/'BCIS Smmary'!$L$6</f>
        <v>0</v>
      </c>
      <c r="I7" s="187">
        <f t="shared" si="0"/>
        <v>0</v>
      </c>
      <c r="J7" s="3"/>
      <c r="K7" s="1"/>
      <c r="L7" s="217"/>
      <c r="M7" s="1"/>
      <c r="N7" s="1"/>
      <c r="O7" s="1"/>
    </row>
    <row r="8" spans="1:15" ht="12.75">
      <c r="A8" s="9"/>
      <c r="B8" s="33"/>
      <c r="C8" s="33"/>
      <c r="D8" s="33"/>
      <c r="E8" s="6"/>
      <c r="F8" s="8">
        <v>0</v>
      </c>
      <c r="G8" s="12">
        <v>0</v>
      </c>
      <c r="H8" s="22">
        <f>I8/'BCIS Smmary'!$L$6</f>
        <v>0</v>
      </c>
      <c r="I8" s="187">
        <f t="shared" si="0"/>
        <v>0</v>
      </c>
      <c r="J8" s="3"/>
      <c r="K8" s="1"/>
      <c r="L8" s="217"/>
      <c r="M8" s="1"/>
      <c r="N8" s="1"/>
      <c r="O8" s="1"/>
    </row>
    <row r="9" spans="1:15" ht="12.75">
      <c r="A9" s="9"/>
      <c r="B9" s="33" t="s">
        <v>239</v>
      </c>
      <c r="C9" s="39">
        <f>Areas!Q38+Areas!T38</f>
        <v>2671.6799999999994</v>
      </c>
      <c r="D9" s="39">
        <f>C9*45/1000</f>
        <v>120.22559999999997</v>
      </c>
      <c r="E9" s="6"/>
      <c r="F9" s="8">
        <v>0</v>
      </c>
      <c r="G9" s="12">
        <v>0</v>
      </c>
      <c r="H9" s="22">
        <f>I9/'BCIS Smmary'!$L$6</f>
        <v>0</v>
      </c>
      <c r="I9" s="187">
        <f t="shared" si="0"/>
        <v>0</v>
      </c>
      <c r="J9" s="3"/>
      <c r="K9" s="1"/>
      <c r="L9" s="1"/>
      <c r="M9" s="1"/>
      <c r="N9" s="1"/>
      <c r="O9" s="1"/>
    </row>
    <row r="10" spans="1:15" ht="12.75">
      <c r="A10" s="9"/>
      <c r="B10" s="33"/>
      <c r="C10" s="33"/>
      <c r="D10" s="33"/>
      <c r="E10" s="6"/>
      <c r="F10" s="8">
        <v>0</v>
      </c>
      <c r="G10" s="12">
        <v>0</v>
      </c>
      <c r="H10" s="22">
        <f>I10/'BCIS Smmary'!$L$6</f>
        <v>0</v>
      </c>
      <c r="I10" s="187">
        <f t="shared" si="0"/>
        <v>0</v>
      </c>
      <c r="J10" s="3"/>
      <c r="K10" s="1"/>
      <c r="L10" s="187"/>
      <c r="M10" s="1"/>
      <c r="N10" s="1"/>
      <c r="O10" s="1"/>
    </row>
    <row r="11" spans="1:15" ht="12.75">
      <c r="A11" s="9"/>
      <c r="B11" s="33" t="s">
        <v>241</v>
      </c>
      <c r="C11" s="33"/>
      <c r="D11" s="33"/>
      <c r="E11" s="6" t="s">
        <v>240</v>
      </c>
      <c r="F11" s="8">
        <f>D9</f>
        <v>120.22559999999997</v>
      </c>
      <c r="G11" s="12">
        <v>100</v>
      </c>
      <c r="H11" s="22">
        <f>I11/'BCIS Smmary'!$L$6</f>
        <v>5.297168689031643</v>
      </c>
      <c r="I11" s="187">
        <f>F11*G11</f>
        <v>12022.559999999998</v>
      </c>
      <c r="J11" s="3"/>
      <c r="K11" s="1"/>
      <c r="L11" s="187"/>
      <c r="M11" s="1"/>
      <c r="N11" s="1"/>
      <c r="O11" s="1"/>
    </row>
    <row r="12" spans="1:15" ht="12.75">
      <c r="A12" s="9"/>
      <c r="B12" s="33"/>
      <c r="C12" s="33"/>
      <c r="D12" s="33"/>
      <c r="E12" s="6"/>
      <c r="F12" s="8">
        <v>0</v>
      </c>
      <c r="G12" s="12">
        <v>0</v>
      </c>
      <c r="H12" s="22">
        <f>I12/'BCIS Smmary'!$L$6</f>
        <v>0</v>
      </c>
      <c r="I12" s="187">
        <f>F12*G12</f>
        <v>0</v>
      </c>
      <c r="J12" s="3"/>
      <c r="K12" s="1"/>
      <c r="L12" s="187"/>
      <c r="M12" s="1"/>
      <c r="N12" s="1"/>
      <c r="O12" s="1"/>
    </row>
    <row r="13" spans="1:15" ht="12.75">
      <c r="A13" s="9"/>
      <c r="B13" s="273" t="s">
        <v>318</v>
      </c>
      <c r="C13" s="33"/>
      <c r="D13" s="33"/>
      <c r="E13" s="6"/>
      <c r="F13" s="8">
        <v>0</v>
      </c>
      <c r="G13" s="12">
        <v>0</v>
      </c>
      <c r="H13" s="22">
        <f>I13/'BCIS Smmary'!$L$6</f>
        <v>0</v>
      </c>
      <c r="I13" s="187">
        <f>F13*G13</f>
        <v>0</v>
      </c>
      <c r="J13" s="3"/>
      <c r="K13" s="1"/>
      <c r="L13" s="187"/>
      <c r="M13" s="1"/>
      <c r="N13" s="1"/>
      <c r="O13" s="1"/>
    </row>
    <row r="14" spans="1:15" ht="12.75">
      <c r="A14" s="9"/>
      <c r="B14" s="33" t="s">
        <v>314</v>
      </c>
      <c r="C14" s="33"/>
      <c r="D14" s="33"/>
      <c r="E14" s="26"/>
      <c r="F14" s="8">
        <v>0</v>
      </c>
      <c r="G14" s="12">
        <v>0</v>
      </c>
      <c r="H14" s="22">
        <f>I14/'BCIS Smmary'!$L$6</f>
        <v>0</v>
      </c>
      <c r="I14" s="187">
        <f t="shared" si="0"/>
        <v>0</v>
      </c>
      <c r="J14" s="3"/>
      <c r="K14" s="1"/>
      <c r="L14" s="187"/>
      <c r="M14" s="1"/>
      <c r="N14" s="1"/>
      <c r="O14" s="1"/>
    </row>
    <row r="15" spans="1:15" ht="12.75">
      <c r="A15" s="9"/>
      <c r="B15" s="33" t="s">
        <v>315</v>
      </c>
      <c r="C15" s="33"/>
      <c r="D15" s="33"/>
      <c r="E15" s="6"/>
      <c r="F15" s="8">
        <v>0</v>
      </c>
      <c r="G15" s="12">
        <v>0</v>
      </c>
      <c r="H15" s="22">
        <f>I15/'BCIS Smmary'!$L$6</f>
        <v>0</v>
      </c>
      <c r="I15" s="187">
        <f t="shared" si="0"/>
        <v>0</v>
      </c>
      <c r="J15" s="226"/>
      <c r="K15" s="1"/>
      <c r="L15" s="187"/>
      <c r="M15" s="1"/>
      <c r="N15" s="1"/>
      <c r="O15" s="1"/>
    </row>
    <row r="16" spans="1:15" ht="12.75">
      <c r="A16" s="9"/>
      <c r="B16" s="33" t="s">
        <v>316</v>
      </c>
      <c r="C16" s="33"/>
      <c r="D16" s="33"/>
      <c r="E16" s="6"/>
      <c r="F16" s="8">
        <v>0</v>
      </c>
      <c r="G16" s="12">
        <v>0</v>
      </c>
      <c r="H16" s="22">
        <f>I16/'BCIS Smmary'!$L$6</f>
        <v>0</v>
      </c>
      <c r="I16" s="187">
        <f t="shared" si="0"/>
        <v>0</v>
      </c>
      <c r="J16" s="3"/>
      <c r="K16" s="1"/>
      <c r="L16" s="187"/>
      <c r="M16" s="1"/>
      <c r="N16" s="1"/>
      <c r="O16" s="1"/>
    </row>
    <row r="17" spans="1:15" ht="12.75">
      <c r="A17" s="9"/>
      <c r="B17" s="33" t="s">
        <v>317</v>
      </c>
      <c r="C17" s="33"/>
      <c r="D17" s="33"/>
      <c r="E17" s="26"/>
      <c r="F17" s="8">
        <v>0</v>
      </c>
      <c r="G17" s="12">
        <v>0</v>
      </c>
      <c r="H17" s="22">
        <f>I17/'BCIS Smmary'!$L$6</f>
        <v>0</v>
      </c>
      <c r="I17" s="187">
        <f t="shared" si="0"/>
        <v>0</v>
      </c>
      <c r="J17" s="3"/>
      <c r="K17" s="1"/>
      <c r="L17" s="187"/>
      <c r="M17" s="1"/>
      <c r="N17" s="1"/>
      <c r="O17" s="1"/>
    </row>
    <row r="18" spans="1:15" ht="12.75">
      <c r="A18" s="9"/>
      <c r="B18" s="33"/>
      <c r="C18" s="33"/>
      <c r="D18" s="33"/>
      <c r="E18" s="26"/>
      <c r="F18" s="8">
        <v>0</v>
      </c>
      <c r="G18" s="12">
        <v>0</v>
      </c>
      <c r="H18" s="22">
        <f>I18/'BCIS Smmary'!$L$6</f>
        <v>0</v>
      </c>
      <c r="I18" s="187">
        <f t="shared" si="0"/>
        <v>0</v>
      </c>
      <c r="J18" s="3"/>
      <c r="K18" s="1"/>
      <c r="L18" s="217"/>
      <c r="M18" s="1"/>
      <c r="N18" s="1"/>
      <c r="O18" s="1"/>
    </row>
    <row r="19" spans="1:15" ht="12.75">
      <c r="A19" s="9"/>
      <c r="B19" s="33" t="s">
        <v>419</v>
      </c>
      <c r="C19" s="33"/>
      <c r="D19" s="33"/>
      <c r="E19" s="6" t="s">
        <v>420</v>
      </c>
      <c r="F19" s="8">
        <v>1</v>
      </c>
      <c r="G19" s="12">
        <v>14000</v>
      </c>
      <c r="H19" s="22">
        <f>I19/'BCIS Smmary'!$L$6</f>
        <v>6.168433482256942</v>
      </c>
      <c r="I19" s="187">
        <f t="shared" si="0"/>
        <v>14000</v>
      </c>
      <c r="J19" s="226"/>
      <c r="K19" s="1"/>
      <c r="L19" s="1"/>
      <c r="M19" s="1"/>
      <c r="N19" s="1"/>
      <c r="O19" s="1"/>
    </row>
    <row r="20" spans="1:15" ht="12.75">
      <c r="A20" s="9"/>
      <c r="B20" s="33"/>
      <c r="C20" s="33"/>
      <c r="D20" s="33"/>
      <c r="E20" s="6"/>
      <c r="F20" s="8">
        <v>0</v>
      </c>
      <c r="G20" s="12">
        <v>0</v>
      </c>
      <c r="H20" s="22">
        <f>I20/'BCIS Smmary'!$L$6</f>
        <v>0</v>
      </c>
      <c r="I20" s="187">
        <f t="shared" si="0"/>
        <v>0</v>
      </c>
      <c r="J20" s="226"/>
      <c r="K20" s="1"/>
      <c r="L20" s="1"/>
      <c r="M20" s="1"/>
      <c r="N20" s="1"/>
      <c r="O20" s="1"/>
    </row>
    <row r="21" spans="1:15" ht="12.75">
      <c r="A21" s="9"/>
      <c r="B21" s="33"/>
      <c r="C21" s="33"/>
      <c r="D21" s="33"/>
      <c r="E21" s="6"/>
      <c r="F21" s="8">
        <v>0</v>
      </c>
      <c r="G21" s="12">
        <v>0</v>
      </c>
      <c r="H21" s="22">
        <f>I21/'BCIS Smmary'!$L$6</f>
        <v>0</v>
      </c>
      <c r="I21" s="187">
        <f t="shared" si="0"/>
        <v>0</v>
      </c>
      <c r="J21" s="3"/>
      <c r="K21" s="1"/>
      <c r="L21" s="1"/>
      <c r="M21" s="1"/>
      <c r="N21" s="1"/>
      <c r="O21" s="1"/>
    </row>
    <row r="22" spans="1:15" ht="12.75">
      <c r="A22" s="9"/>
      <c r="B22" s="33"/>
      <c r="C22" s="33"/>
      <c r="D22" s="33"/>
      <c r="E22" s="26"/>
      <c r="F22" s="8">
        <v>0</v>
      </c>
      <c r="G22" s="12">
        <v>0</v>
      </c>
      <c r="H22" s="22">
        <f>I22/'BCIS Smmary'!$L$6</f>
        <v>0</v>
      </c>
      <c r="I22" s="187">
        <f t="shared" si="0"/>
        <v>0</v>
      </c>
      <c r="J22" s="3"/>
      <c r="K22" s="1"/>
      <c r="L22" s="217"/>
      <c r="M22" s="1"/>
      <c r="N22" s="1"/>
      <c r="O22" s="1"/>
    </row>
    <row r="23" spans="1:15" ht="12.75">
      <c r="A23" s="9"/>
      <c r="B23" s="33"/>
      <c r="C23" s="33"/>
      <c r="D23" s="33"/>
      <c r="E23" s="26"/>
      <c r="F23" s="8">
        <v>0</v>
      </c>
      <c r="G23" s="12">
        <v>0</v>
      </c>
      <c r="H23" s="22">
        <f>I23/'BCIS Smmary'!$L$6</f>
        <v>0</v>
      </c>
      <c r="I23" s="187">
        <f t="shared" si="0"/>
        <v>0</v>
      </c>
      <c r="J23" s="3"/>
      <c r="K23" s="1"/>
      <c r="L23" s="1"/>
      <c r="M23" s="1"/>
      <c r="N23" s="1"/>
      <c r="O23" s="1"/>
    </row>
    <row r="24" spans="1:15" ht="12.75">
      <c r="A24" s="9"/>
      <c r="B24" s="33"/>
      <c r="C24" s="33"/>
      <c r="D24" s="33"/>
      <c r="E24" s="6"/>
      <c r="F24" s="8">
        <v>0</v>
      </c>
      <c r="G24" s="12">
        <v>0</v>
      </c>
      <c r="H24" s="22">
        <f>I24/'BCIS Smmary'!$L$6</f>
        <v>0</v>
      </c>
      <c r="I24" s="187">
        <f t="shared" si="0"/>
        <v>0</v>
      </c>
      <c r="J24" s="3"/>
      <c r="K24" s="1"/>
      <c r="L24" s="217"/>
      <c r="M24" s="1"/>
      <c r="N24" s="1"/>
      <c r="O24" s="1"/>
    </row>
    <row r="25" spans="1:15" ht="12.75">
      <c r="A25" s="9"/>
      <c r="B25" s="33"/>
      <c r="C25" s="33"/>
      <c r="D25" s="33"/>
      <c r="E25" s="26"/>
      <c r="F25" s="8">
        <v>0</v>
      </c>
      <c r="G25" s="12">
        <v>0</v>
      </c>
      <c r="H25" s="22">
        <f>I25/'BCIS Smmary'!$L$6</f>
        <v>0</v>
      </c>
      <c r="I25" s="187">
        <f t="shared" si="0"/>
        <v>0</v>
      </c>
      <c r="J25" s="3"/>
      <c r="K25" s="1"/>
      <c r="L25" s="1"/>
      <c r="M25" s="1"/>
      <c r="N25" s="1"/>
      <c r="O25" s="1"/>
    </row>
    <row r="26" spans="1:15" ht="12.75">
      <c r="A26" s="9"/>
      <c r="B26" s="33"/>
      <c r="C26" s="33"/>
      <c r="D26" s="33"/>
      <c r="E26" s="26"/>
      <c r="F26" s="8">
        <v>0</v>
      </c>
      <c r="G26" s="12">
        <v>0</v>
      </c>
      <c r="H26" s="22">
        <f>I26/'BCIS Smmary'!$L$6</f>
        <v>0</v>
      </c>
      <c r="I26" s="187">
        <f t="shared" si="0"/>
        <v>0</v>
      </c>
      <c r="J26" s="3"/>
      <c r="K26" s="1"/>
      <c r="L26" s="217"/>
      <c r="M26" s="1"/>
      <c r="N26" s="1"/>
      <c r="O26" s="1"/>
    </row>
    <row r="27" spans="1:15" ht="12.75">
      <c r="A27" s="9"/>
      <c r="B27" s="33"/>
      <c r="C27" s="33"/>
      <c r="D27" s="33"/>
      <c r="E27" s="6"/>
      <c r="F27" s="8">
        <v>0</v>
      </c>
      <c r="G27" s="12">
        <v>0</v>
      </c>
      <c r="H27" s="22">
        <f>I27/'BCIS Smmary'!$L$6</f>
        <v>0</v>
      </c>
      <c r="I27" s="187">
        <f t="shared" si="0"/>
        <v>0</v>
      </c>
      <c r="J27" s="3"/>
      <c r="K27" s="1"/>
      <c r="L27" s="1"/>
      <c r="M27" s="1"/>
      <c r="N27" s="1"/>
      <c r="O27" s="1"/>
    </row>
    <row r="28" spans="1:15" ht="12.75">
      <c r="A28" s="9"/>
      <c r="B28" s="33"/>
      <c r="C28" s="33"/>
      <c r="D28" s="33"/>
      <c r="E28" s="6"/>
      <c r="F28" s="8">
        <v>0</v>
      </c>
      <c r="G28" s="12">
        <v>0</v>
      </c>
      <c r="H28" s="22">
        <f>I28/'BCIS Smmary'!$L$6</f>
        <v>0</v>
      </c>
      <c r="I28" s="187">
        <f t="shared" si="0"/>
        <v>0</v>
      </c>
      <c r="J28" s="226"/>
      <c r="K28" s="1"/>
      <c r="L28" s="1"/>
      <c r="M28" s="1"/>
      <c r="N28" s="1"/>
      <c r="O28" s="1"/>
    </row>
    <row r="29" spans="1:15" ht="12.75">
      <c r="A29" s="9"/>
      <c r="B29" s="33"/>
      <c r="C29" s="33"/>
      <c r="D29" s="33"/>
      <c r="E29" s="26"/>
      <c r="F29" s="8">
        <v>0</v>
      </c>
      <c r="G29" s="12">
        <v>0</v>
      </c>
      <c r="H29" s="22">
        <f>I29/'BCIS Smmary'!$L$6</f>
        <v>0</v>
      </c>
      <c r="I29" s="187">
        <f t="shared" si="0"/>
        <v>0</v>
      </c>
      <c r="J29" s="3"/>
      <c r="K29" s="1"/>
      <c r="L29" s="1"/>
      <c r="M29" s="1"/>
      <c r="N29" s="1"/>
      <c r="O29" s="1"/>
    </row>
    <row r="30" spans="1:15" ht="12.75">
      <c r="A30" s="9"/>
      <c r="B30" s="33"/>
      <c r="C30" s="33"/>
      <c r="D30" s="33"/>
      <c r="E30" s="26"/>
      <c r="F30" s="8">
        <v>0</v>
      </c>
      <c r="G30" s="12">
        <v>0</v>
      </c>
      <c r="H30" s="22">
        <f>I30/'BCIS Smmary'!$L$6</f>
        <v>0</v>
      </c>
      <c r="I30" s="187">
        <f t="shared" si="0"/>
        <v>0</v>
      </c>
      <c r="J30" s="3"/>
      <c r="K30" s="1"/>
      <c r="L30" s="217"/>
      <c r="M30" s="217"/>
      <c r="N30" s="217"/>
      <c r="O30" s="1"/>
    </row>
    <row r="31" spans="1:15" ht="12.75">
      <c r="A31" s="9"/>
      <c r="B31" s="33"/>
      <c r="C31" s="33"/>
      <c r="D31" s="33"/>
      <c r="E31" s="6"/>
      <c r="F31" s="8">
        <v>0</v>
      </c>
      <c r="G31" s="12">
        <v>0</v>
      </c>
      <c r="H31" s="22">
        <f>I31/'BCIS Smmary'!$L$6</f>
        <v>0</v>
      </c>
      <c r="I31" s="187">
        <f t="shared" si="0"/>
        <v>0</v>
      </c>
      <c r="J31" s="3"/>
      <c r="K31" s="1"/>
      <c r="L31" s="1"/>
      <c r="M31" s="217"/>
      <c r="N31" s="217"/>
      <c r="O31" s="1"/>
    </row>
    <row r="32" spans="1:15" ht="12.75">
      <c r="A32" s="9"/>
      <c r="B32" s="33"/>
      <c r="C32" s="33"/>
      <c r="D32" s="10"/>
      <c r="E32" s="6"/>
      <c r="F32" s="8">
        <v>0</v>
      </c>
      <c r="G32" s="12">
        <v>0</v>
      </c>
      <c r="H32" s="22">
        <f>I32/'BCIS Smmary'!$L$6</f>
        <v>0</v>
      </c>
      <c r="I32" s="187">
        <f t="shared" si="0"/>
        <v>0</v>
      </c>
      <c r="J32" s="3"/>
      <c r="K32" s="1"/>
      <c r="L32" s="1"/>
      <c r="M32" s="217"/>
      <c r="N32" s="217"/>
      <c r="O32" s="1"/>
    </row>
    <row r="33" spans="1:15" ht="12.75">
      <c r="A33" s="9"/>
      <c r="B33" s="33"/>
      <c r="C33" s="33"/>
      <c r="D33" s="33"/>
      <c r="E33" s="26"/>
      <c r="F33" s="8">
        <v>0</v>
      </c>
      <c r="G33" s="12">
        <v>0</v>
      </c>
      <c r="H33" s="22">
        <f>I33/'BCIS Smmary'!$L$6</f>
        <v>0</v>
      </c>
      <c r="I33" s="187">
        <f t="shared" si="0"/>
        <v>0</v>
      </c>
      <c r="J33" s="3"/>
      <c r="K33" s="1"/>
      <c r="L33" s="1"/>
      <c r="M33" s="1"/>
      <c r="N33" s="1"/>
      <c r="O33" s="1"/>
    </row>
    <row r="34" spans="1:15" ht="12.75">
      <c r="A34" s="9"/>
      <c r="B34" s="33"/>
      <c r="C34" s="47"/>
      <c r="D34" s="47"/>
      <c r="E34" s="26"/>
      <c r="F34" s="8">
        <v>0</v>
      </c>
      <c r="G34" s="12">
        <v>0</v>
      </c>
      <c r="H34" s="22">
        <f>I34/'BCIS Smmary'!$L$6</f>
        <v>0</v>
      </c>
      <c r="I34" s="187">
        <f t="shared" si="0"/>
        <v>0</v>
      </c>
      <c r="J34" s="3"/>
      <c r="K34" s="1"/>
      <c r="L34" s="1"/>
      <c r="M34" s="1"/>
      <c r="N34" s="1"/>
      <c r="O34" s="1"/>
    </row>
    <row r="35" spans="1:9" ht="12.75">
      <c r="A35" s="9"/>
      <c r="B35" s="33"/>
      <c r="C35" s="47"/>
      <c r="D35" s="47"/>
      <c r="E35" s="6"/>
      <c r="F35" s="8">
        <v>0</v>
      </c>
      <c r="G35" s="12">
        <v>0</v>
      </c>
      <c r="H35" s="22">
        <f>I35/'BCIS Smmary'!$L$6</f>
        <v>0</v>
      </c>
      <c r="I35" s="23">
        <f t="shared" si="0"/>
        <v>0</v>
      </c>
    </row>
    <row r="36" spans="1:9" ht="12.75">
      <c r="A36" s="9"/>
      <c r="B36" s="33"/>
      <c r="C36" s="47"/>
      <c r="D36" s="47"/>
      <c r="E36" s="26"/>
      <c r="F36" s="8">
        <v>0</v>
      </c>
      <c r="G36" s="12">
        <v>0</v>
      </c>
      <c r="H36" s="22">
        <f>I36/'BCIS Smmary'!$L$6</f>
        <v>0</v>
      </c>
      <c r="I36" s="23">
        <f t="shared" si="0"/>
        <v>0</v>
      </c>
    </row>
    <row r="37" spans="1:9" ht="12.75">
      <c r="A37" s="9"/>
      <c r="B37" s="33"/>
      <c r="C37" s="47"/>
      <c r="D37" s="47"/>
      <c r="E37" s="26"/>
      <c r="F37" s="8"/>
      <c r="G37" s="12">
        <v>0</v>
      </c>
      <c r="H37" s="22">
        <f>I37/'BCIS Smmary'!$L$6</f>
        <v>0</v>
      </c>
      <c r="I37" s="23">
        <f t="shared" si="0"/>
        <v>0</v>
      </c>
    </row>
    <row r="38" spans="1:9" ht="12.75">
      <c r="A38" s="9"/>
      <c r="B38" s="33"/>
      <c r="C38" s="47"/>
      <c r="D38" s="47"/>
      <c r="E38" s="26"/>
      <c r="F38" s="8">
        <v>0</v>
      </c>
      <c r="G38" s="12">
        <v>0</v>
      </c>
      <c r="H38" s="22">
        <f>I38/'BCIS Smmary'!$L$6</f>
        <v>0</v>
      </c>
      <c r="I38" s="23">
        <f t="shared" si="0"/>
        <v>0</v>
      </c>
    </row>
    <row r="39" spans="1:9" ht="12.75">
      <c r="A39" s="9"/>
      <c r="B39" s="33"/>
      <c r="C39" s="47"/>
      <c r="D39" s="47"/>
      <c r="E39" s="6"/>
      <c r="F39" s="8">
        <v>0</v>
      </c>
      <c r="G39" s="12">
        <v>0</v>
      </c>
      <c r="H39" s="22">
        <f>I39/'BCIS Smmary'!$L$6</f>
        <v>0</v>
      </c>
      <c r="I39" s="23">
        <f t="shared" si="0"/>
        <v>0</v>
      </c>
    </row>
    <row r="40" spans="1:9" ht="12.75">
      <c r="A40" s="26"/>
      <c r="B40" s="33"/>
      <c r="C40" s="33"/>
      <c r="D40" s="33"/>
      <c r="E40" s="6"/>
      <c r="F40" s="8">
        <v>0</v>
      </c>
      <c r="G40" s="12">
        <v>0</v>
      </c>
      <c r="H40" s="22">
        <f>I40/'BCIS Smmary'!$L$6</f>
        <v>0</v>
      </c>
      <c r="I40" s="23">
        <f t="shared" si="0"/>
        <v>0</v>
      </c>
    </row>
    <row r="41" spans="1:9" ht="12.75">
      <c r="A41" s="26"/>
      <c r="B41" s="33"/>
      <c r="C41" s="33"/>
      <c r="D41" s="33"/>
      <c r="E41" s="6"/>
      <c r="F41" s="8">
        <v>0</v>
      </c>
      <c r="G41" s="12">
        <v>0</v>
      </c>
      <c r="H41" s="22">
        <f>I41/'BCIS Smmary'!$L$6</f>
        <v>0</v>
      </c>
      <c r="I41" s="23">
        <f aca="true" t="shared" si="1" ref="I41:I52">F41*G41</f>
        <v>0</v>
      </c>
    </row>
    <row r="42" spans="1:9" ht="12.75">
      <c r="A42" s="26"/>
      <c r="B42" s="33"/>
      <c r="C42" s="33"/>
      <c r="D42" s="33"/>
      <c r="E42" s="6"/>
      <c r="F42" s="8">
        <v>0</v>
      </c>
      <c r="G42" s="12">
        <v>0</v>
      </c>
      <c r="H42" s="22">
        <f>I42/'BCIS Smmary'!$L$6</f>
        <v>0</v>
      </c>
      <c r="I42" s="23">
        <f t="shared" si="1"/>
        <v>0</v>
      </c>
    </row>
    <row r="43" spans="1:9" ht="12.75">
      <c r="A43" s="26"/>
      <c r="B43" s="33"/>
      <c r="C43" s="33"/>
      <c r="D43" s="33"/>
      <c r="E43" s="6"/>
      <c r="F43" s="8">
        <v>0</v>
      </c>
      <c r="G43" s="12">
        <v>0</v>
      </c>
      <c r="H43" s="22">
        <f>I43/'BCIS Smmary'!$L$6</f>
        <v>0</v>
      </c>
      <c r="I43" s="23">
        <f t="shared" si="1"/>
        <v>0</v>
      </c>
    </row>
    <row r="44" spans="1:9" ht="11.25" customHeight="1">
      <c r="A44" s="26"/>
      <c r="B44" s="33"/>
      <c r="C44" s="33"/>
      <c r="D44" s="33"/>
      <c r="E44" s="6"/>
      <c r="F44" s="8">
        <v>0</v>
      </c>
      <c r="G44" s="12">
        <v>0</v>
      </c>
      <c r="H44" s="22">
        <f>I44/'BCIS Smmary'!$L$6</f>
        <v>0</v>
      </c>
      <c r="I44" s="23">
        <f t="shared" si="1"/>
        <v>0</v>
      </c>
    </row>
    <row r="45" spans="1:9" ht="12.75">
      <c r="A45" s="26"/>
      <c r="B45" s="47"/>
      <c r="C45" s="47"/>
      <c r="D45" s="47"/>
      <c r="E45" s="48"/>
      <c r="F45" s="8">
        <v>0</v>
      </c>
      <c r="G45" s="12">
        <v>0</v>
      </c>
      <c r="H45" s="22">
        <f>I45/'BCIS Smmary'!$L$6</f>
        <v>0</v>
      </c>
      <c r="I45" s="23">
        <f t="shared" si="1"/>
        <v>0</v>
      </c>
    </row>
    <row r="46" spans="1:9" ht="12.75">
      <c r="A46" s="26"/>
      <c r="B46" s="33"/>
      <c r="C46" s="47"/>
      <c r="D46" s="47"/>
      <c r="E46" s="26"/>
      <c r="F46" s="8">
        <v>0</v>
      </c>
      <c r="G46" s="12">
        <v>0</v>
      </c>
      <c r="H46" s="22">
        <f>I46/'BCIS Smmary'!$L$6</f>
        <v>0</v>
      </c>
      <c r="I46" s="23">
        <f t="shared" si="1"/>
        <v>0</v>
      </c>
    </row>
    <row r="47" spans="1:9" ht="12.75">
      <c r="A47" s="26"/>
      <c r="B47" s="33"/>
      <c r="C47" s="33"/>
      <c r="D47" s="33"/>
      <c r="E47" s="6"/>
      <c r="F47" s="8">
        <v>0</v>
      </c>
      <c r="G47" s="12">
        <v>0</v>
      </c>
      <c r="H47" s="22">
        <f>I47/'BCIS Smmary'!$L$6</f>
        <v>0</v>
      </c>
      <c r="I47" s="23">
        <f t="shared" si="1"/>
        <v>0</v>
      </c>
    </row>
    <row r="48" spans="1:9" ht="12.75">
      <c r="A48" s="26"/>
      <c r="B48" s="33"/>
      <c r="C48" s="33"/>
      <c r="D48" s="33"/>
      <c r="E48" s="6"/>
      <c r="F48" s="8">
        <v>0</v>
      </c>
      <c r="G48" s="12">
        <v>0</v>
      </c>
      <c r="H48" s="22">
        <f>I48/'BCIS Smmary'!$L$6</f>
        <v>0</v>
      </c>
      <c r="I48" s="23">
        <f t="shared" si="1"/>
        <v>0</v>
      </c>
    </row>
    <row r="49" spans="1:9" ht="12.75">
      <c r="A49" s="26"/>
      <c r="B49" s="33"/>
      <c r="C49" s="33"/>
      <c r="D49" s="33"/>
      <c r="E49" s="6"/>
      <c r="F49" s="8">
        <v>0</v>
      </c>
      <c r="G49" s="12">
        <v>0</v>
      </c>
      <c r="H49" s="22">
        <f>I49/'BCIS Smmary'!$L$6</f>
        <v>0</v>
      </c>
      <c r="I49" s="23">
        <f t="shared" si="1"/>
        <v>0</v>
      </c>
    </row>
    <row r="50" spans="1:9" ht="12.75">
      <c r="A50" s="26"/>
      <c r="B50" s="33"/>
      <c r="C50" s="33"/>
      <c r="D50" s="33"/>
      <c r="E50" s="6"/>
      <c r="F50" s="8">
        <v>0</v>
      </c>
      <c r="G50" s="12">
        <v>0</v>
      </c>
      <c r="H50" s="22">
        <f>I50/'BCIS Smmary'!$L$6</f>
        <v>0</v>
      </c>
      <c r="I50" s="23">
        <f t="shared" si="1"/>
        <v>0</v>
      </c>
    </row>
    <row r="51" spans="1:9" ht="12.75">
      <c r="A51" s="26"/>
      <c r="B51" s="33"/>
      <c r="C51" s="33"/>
      <c r="D51" s="33"/>
      <c r="E51" s="6"/>
      <c r="F51" s="8">
        <v>0</v>
      </c>
      <c r="G51" s="12">
        <v>0</v>
      </c>
      <c r="H51" s="22">
        <f>I51/'BCIS Smmary'!$L$6</f>
        <v>0</v>
      </c>
      <c r="I51" s="23">
        <f t="shared" si="1"/>
        <v>0</v>
      </c>
    </row>
    <row r="52" spans="1:9" ht="12.75">
      <c r="A52" s="26"/>
      <c r="B52" s="33"/>
      <c r="C52" s="33"/>
      <c r="D52" s="33"/>
      <c r="E52" s="6"/>
      <c r="F52" s="8">
        <v>0</v>
      </c>
      <c r="G52" s="12">
        <v>0</v>
      </c>
      <c r="H52" s="22">
        <f>I52/'BCIS Smmary'!$L$6</f>
        <v>0</v>
      </c>
      <c r="I52" s="23">
        <f t="shared" si="1"/>
        <v>0</v>
      </c>
    </row>
    <row r="53" spans="1:9" ht="12.75">
      <c r="A53" s="34" t="s">
        <v>47</v>
      </c>
      <c r="B53" s="35"/>
      <c r="C53" s="35"/>
      <c r="D53" s="35"/>
      <c r="E53" s="18"/>
      <c r="F53" s="25" t="s">
        <v>8</v>
      </c>
      <c r="G53" s="24"/>
      <c r="H53" s="32">
        <f>I53/'BCIS Smmary'!$L$6</f>
        <v>75.0316264396683</v>
      </c>
      <c r="I53" s="31">
        <f>SUM(I5:I52)</f>
        <v>170293.27999999997</v>
      </c>
    </row>
    <row r="54" spans="1:10" ht="12.75">
      <c r="A54" s="3"/>
      <c r="B54" s="1"/>
      <c r="C54" s="1"/>
      <c r="D54" s="1"/>
      <c r="E54" s="1"/>
      <c r="F54" s="1"/>
      <c r="G54" s="1"/>
      <c r="H54" s="1"/>
      <c r="I54" s="1"/>
      <c r="J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</sheetData>
  <printOptions/>
  <pageMargins left="0.75" right="0.75" top="1" bottom="1" header="0.5" footer="0.5"/>
  <pageSetup fitToHeight="1" fitToWidth="1" horizontalDpi="300" verticalDpi="300" orientation="portrait" paperSize="9" scale="87" r:id="rId1"/>
  <headerFooter alignWithMargins="0">
    <oddFooter>&amp;L&amp;D  &amp;T&amp;C5
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2"/>
  <sheetViews>
    <sheetView workbookViewId="0" topLeftCell="A1">
      <selection activeCell="G19" sqref="G19"/>
    </sheetView>
  </sheetViews>
  <sheetFormatPr defaultColWidth="9.140625" defaultRowHeight="12.75"/>
  <cols>
    <col min="1" max="1" width="3.7109375" style="0" customWidth="1"/>
    <col min="3" max="3" width="9.28125" style="0" bestFit="1" customWidth="1"/>
    <col min="4" max="4" width="24.7109375" style="0" customWidth="1"/>
    <col min="5" max="5" width="6.57421875" style="0" customWidth="1"/>
    <col min="6" max="6" width="10.421875" style="0" bestFit="1" customWidth="1"/>
    <col min="7" max="7" width="12.8515625" style="0" bestFit="1" customWidth="1"/>
    <col min="8" max="8" width="12.00390625" style="0" bestFit="1" customWidth="1"/>
    <col min="9" max="9" width="13.140625" style="0" customWidth="1"/>
  </cols>
  <sheetData>
    <row r="1" spans="1:9" ht="12.75">
      <c r="A1" s="57" t="s">
        <v>10</v>
      </c>
      <c r="B1" s="58"/>
      <c r="C1" s="58"/>
      <c r="D1" s="59" t="s">
        <v>41</v>
      </c>
      <c r="E1" s="58"/>
      <c r="F1" s="58"/>
      <c r="G1" s="58"/>
      <c r="H1" s="58"/>
      <c r="I1" s="61"/>
    </row>
    <row r="2" spans="1:9" ht="12.75">
      <c r="A2" s="28" t="s">
        <v>11</v>
      </c>
      <c r="B2" s="7"/>
      <c r="C2" s="7"/>
      <c r="D2" s="7"/>
      <c r="E2" s="17" t="s">
        <v>0</v>
      </c>
      <c r="F2" s="15" t="s">
        <v>4</v>
      </c>
      <c r="G2" s="16" t="s">
        <v>4</v>
      </c>
      <c r="H2" s="15" t="s">
        <v>26</v>
      </c>
      <c r="I2" s="1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16" t="s">
        <v>5</v>
      </c>
      <c r="H3" s="15" t="s">
        <v>3</v>
      </c>
      <c r="I3" s="16" t="s">
        <v>2</v>
      </c>
    </row>
    <row r="4" spans="1:15" ht="12.75">
      <c r="A4" s="18"/>
      <c r="B4" s="13"/>
      <c r="C4" s="13"/>
      <c r="D4" s="13"/>
      <c r="E4" s="19"/>
      <c r="F4" s="20"/>
      <c r="G4" s="21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  <c r="O4" s="1"/>
    </row>
    <row r="5" spans="1:15" ht="12.75">
      <c r="A5" s="9"/>
      <c r="B5" s="33" t="s">
        <v>320</v>
      </c>
      <c r="C5" s="33"/>
      <c r="D5" s="33"/>
      <c r="E5" s="6" t="s">
        <v>36</v>
      </c>
      <c r="F5" s="8">
        <f>Areas!Q38-Areas!Q15+Areas!T38-Areas!T18</f>
        <v>2172.75</v>
      </c>
      <c r="G5" s="12">
        <v>50</v>
      </c>
      <c r="H5" s="22">
        <f>I5/'BCIS Smmary'!$L$6</f>
        <v>47.865942316334895</v>
      </c>
      <c r="I5" s="187">
        <f aca="true" t="shared" si="0" ref="I5:I49">F5*G5</f>
        <v>108637.5</v>
      </c>
      <c r="J5" s="3"/>
      <c r="K5" s="1"/>
      <c r="L5" s="217"/>
      <c r="M5" s="1"/>
      <c r="N5" s="1"/>
      <c r="O5" s="1"/>
    </row>
    <row r="6" spans="1:15" ht="12.75">
      <c r="A6" s="9"/>
      <c r="B6" s="33"/>
      <c r="C6" s="33"/>
      <c r="D6" s="229"/>
      <c r="E6" s="7"/>
      <c r="F6" s="8">
        <v>0</v>
      </c>
      <c r="G6" s="12">
        <v>0</v>
      </c>
      <c r="H6" s="22">
        <f>I6/'BCIS Smmary'!$L$6</f>
        <v>0</v>
      </c>
      <c r="I6" s="187">
        <f t="shared" si="0"/>
        <v>0</v>
      </c>
      <c r="J6" s="3"/>
      <c r="K6" s="1"/>
      <c r="L6" s="217"/>
      <c r="M6" s="1"/>
      <c r="N6" s="1"/>
      <c r="O6" s="1"/>
    </row>
    <row r="7" spans="1:15" ht="12.75">
      <c r="A7" s="9"/>
      <c r="B7" s="33"/>
      <c r="C7" s="33" t="s">
        <v>217</v>
      </c>
      <c r="D7" s="229">
        <v>15</v>
      </c>
      <c r="E7" s="7"/>
      <c r="F7" s="8">
        <v>0</v>
      </c>
      <c r="G7" s="12">
        <v>0</v>
      </c>
      <c r="H7" s="22">
        <f>I7/'BCIS Smmary'!$L$6</f>
        <v>0</v>
      </c>
      <c r="I7" s="187">
        <f t="shared" si="0"/>
        <v>0</v>
      </c>
      <c r="J7" s="3"/>
      <c r="K7" s="1"/>
      <c r="L7" s="187"/>
      <c r="M7" s="1"/>
      <c r="N7" s="1"/>
      <c r="O7" s="1"/>
    </row>
    <row r="8" spans="1:15" ht="12.75">
      <c r="A8" s="9"/>
      <c r="B8" s="33"/>
      <c r="C8" s="33" t="s">
        <v>218</v>
      </c>
      <c r="D8" s="244">
        <v>25</v>
      </c>
      <c r="E8" s="7"/>
      <c r="F8" s="36">
        <v>0</v>
      </c>
      <c r="G8" s="12">
        <v>0</v>
      </c>
      <c r="H8" s="22">
        <f>I8/'BCIS Smmary'!$L$6</f>
        <v>0</v>
      </c>
      <c r="I8" s="187">
        <f t="shared" si="0"/>
        <v>0</v>
      </c>
      <c r="J8" s="3"/>
      <c r="K8" s="1"/>
      <c r="L8" s="187"/>
      <c r="M8" s="1"/>
      <c r="N8" s="1"/>
      <c r="O8" s="1"/>
    </row>
    <row r="9" spans="1:15" ht="12.75">
      <c r="A9" s="9"/>
      <c r="B9" s="33"/>
      <c r="C9" s="33" t="s">
        <v>219</v>
      </c>
      <c r="D9" s="39">
        <v>8</v>
      </c>
      <c r="E9" s="6"/>
      <c r="F9" s="8">
        <v>0</v>
      </c>
      <c r="G9" s="12">
        <v>0</v>
      </c>
      <c r="H9" s="22">
        <f>I9/'BCIS Smmary'!$L$6</f>
        <v>0</v>
      </c>
      <c r="I9" s="187">
        <f>F9*G9</f>
        <v>0</v>
      </c>
      <c r="J9" s="3"/>
      <c r="K9" s="1"/>
      <c r="L9" s="187"/>
      <c r="M9" s="1"/>
      <c r="N9" s="1"/>
      <c r="O9" s="1"/>
    </row>
    <row r="10" spans="1:15" ht="12.75">
      <c r="A10" s="9"/>
      <c r="B10" s="33"/>
      <c r="C10" s="33"/>
      <c r="D10" s="248">
        <f>SUM(D7:D9)</f>
        <v>48</v>
      </c>
      <c r="E10" s="6"/>
      <c r="F10" s="8">
        <v>0</v>
      </c>
      <c r="G10" s="12">
        <v>0</v>
      </c>
      <c r="H10" s="22">
        <f>I10/'BCIS Smmary'!$L$6</f>
        <v>0</v>
      </c>
      <c r="I10" s="187">
        <f>F10*G10</f>
        <v>0</v>
      </c>
      <c r="J10" s="3"/>
      <c r="K10" s="1"/>
      <c r="L10" s="187"/>
      <c r="M10" s="1"/>
      <c r="N10" s="1"/>
      <c r="O10" s="1"/>
    </row>
    <row r="11" spans="1:15" ht="12.75">
      <c r="A11" s="9"/>
      <c r="B11" s="33"/>
      <c r="C11" s="33"/>
      <c r="D11" s="33"/>
      <c r="E11" s="6"/>
      <c r="F11" s="8">
        <v>0</v>
      </c>
      <c r="G11" s="12">
        <v>0</v>
      </c>
      <c r="H11" s="22">
        <f>I11/'BCIS Smmary'!$L$6</f>
        <v>0</v>
      </c>
      <c r="I11" s="187">
        <f t="shared" si="0"/>
        <v>0</v>
      </c>
      <c r="J11" s="3"/>
      <c r="K11" s="1"/>
      <c r="L11" s="187"/>
      <c r="M11" s="1"/>
      <c r="N11" s="1"/>
      <c r="O11" s="1"/>
    </row>
    <row r="12" spans="1:15" ht="12.75">
      <c r="A12" s="9"/>
      <c r="B12" t="s">
        <v>423</v>
      </c>
      <c r="E12" s="6"/>
      <c r="F12" s="8">
        <v>0</v>
      </c>
      <c r="G12" s="39">
        <v>0</v>
      </c>
      <c r="H12" s="22">
        <f>I12/'BCIS Smmary'!$L$6</f>
        <v>0</v>
      </c>
      <c r="I12" s="187">
        <f t="shared" si="0"/>
        <v>0</v>
      </c>
      <c r="J12" s="226"/>
      <c r="K12" s="1"/>
      <c r="L12" s="187"/>
      <c r="M12" s="1"/>
      <c r="N12" s="1"/>
      <c r="O12" s="1"/>
    </row>
    <row r="13" spans="1:15" ht="12.75">
      <c r="A13" s="9"/>
      <c r="B13" s="33"/>
      <c r="C13" s="39"/>
      <c r="D13" s="33"/>
      <c r="E13" s="6"/>
      <c r="F13" s="8">
        <v>0</v>
      </c>
      <c r="G13" s="12">
        <v>0</v>
      </c>
      <c r="H13" s="22">
        <f>I13/'BCIS Smmary'!$L$6</f>
        <v>0</v>
      </c>
      <c r="I13" s="187">
        <f t="shared" si="0"/>
        <v>0</v>
      </c>
      <c r="J13" s="3"/>
      <c r="K13" s="1"/>
      <c r="L13" s="187"/>
      <c r="M13" s="1"/>
      <c r="N13" s="1"/>
      <c r="O13" s="1"/>
    </row>
    <row r="14" spans="1:15" ht="12.75">
      <c r="A14" s="9"/>
      <c r="B14" s="33"/>
      <c r="C14" s="39"/>
      <c r="D14" s="33"/>
      <c r="E14" s="26"/>
      <c r="F14" s="8">
        <v>0</v>
      </c>
      <c r="G14" s="12">
        <v>0</v>
      </c>
      <c r="H14" s="22">
        <f>I14/'BCIS Smmary'!$L$6</f>
        <v>0</v>
      </c>
      <c r="I14" s="187">
        <f t="shared" si="0"/>
        <v>0</v>
      </c>
      <c r="J14" s="3"/>
      <c r="K14" s="1"/>
      <c r="L14" s="187"/>
      <c r="M14" s="1"/>
      <c r="N14" s="1"/>
      <c r="O14" s="1"/>
    </row>
    <row r="15" spans="1:15" ht="12.75">
      <c r="A15" s="9"/>
      <c r="B15" s="33" t="s">
        <v>321</v>
      </c>
      <c r="C15" s="39"/>
      <c r="D15" s="33"/>
      <c r="E15" s="26" t="s">
        <v>228</v>
      </c>
      <c r="F15" s="8">
        <v>10</v>
      </c>
      <c r="G15" s="12">
        <v>3750</v>
      </c>
      <c r="H15" s="22">
        <f>I15/'BCIS Smmary'!$L$6</f>
        <v>16.522589684616808</v>
      </c>
      <c r="I15" s="187">
        <f t="shared" si="0"/>
        <v>37500</v>
      </c>
      <c r="J15" s="3"/>
      <c r="K15" s="1"/>
      <c r="L15" s="217"/>
      <c r="M15" s="1"/>
      <c r="N15" s="1"/>
      <c r="O15" s="1"/>
    </row>
    <row r="16" spans="1:15" ht="12.75">
      <c r="A16" s="9"/>
      <c r="B16" s="33"/>
      <c r="C16" s="39"/>
      <c r="D16" s="33"/>
      <c r="E16" s="6"/>
      <c r="F16" s="8">
        <v>0</v>
      </c>
      <c r="G16" s="12">
        <v>0</v>
      </c>
      <c r="H16" s="22">
        <f>I16/'BCIS Smmary'!$L$6</f>
        <v>0</v>
      </c>
      <c r="I16" s="187">
        <f t="shared" si="0"/>
        <v>0</v>
      </c>
      <c r="J16" s="226"/>
      <c r="K16" s="1"/>
      <c r="L16" s="1"/>
      <c r="M16" s="1"/>
      <c r="N16" s="1"/>
      <c r="O16" s="1"/>
    </row>
    <row r="17" spans="1:15" ht="12.75">
      <c r="A17" s="9"/>
      <c r="B17" s="33" t="s">
        <v>322</v>
      </c>
      <c r="C17" s="33"/>
      <c r="D17" s="33"/>
      <c r="E17" s="6" t="s">
        <v>228</v>
      </c>
      <c r="F17" s="8">
        <v>10</v>
      </c>
      <c r="G17" s="12">
        <v>2500</v>
      </c>
      <c r="H17" s="22">
        <f>I17/'BCIS Smmary'!$L$6</f>
        <v>11.015059789744539</v>
      </c>
      <c r="I17" s="187">
        <f t="shared" si="0"/>
        <v>25000</v>
      </c>
      <c r="J17" s="226"/>
      <c r="K17" s="1"/>
      <c r="L17" s="1"/>
      <c r="M17" s="1"/>
      <c r="N17" s="1"/>
      <c r="O17" s="1"/>
    </row>
    <row r="18" spans="1:15" ht="12.75">
      <c r="A18" s="9"/>
      <c r="B18" s="33"/>
      <c r="C18" s="33" t="s">
        <v>412</v>
      </c>
      <c r="D18" s="33"/>
      <c r="E18" s="26" t="s">
        <v>228</v>
      </c>
      <c r="F18" s="8">
        <v>10</v>
      </c>
      <c r="G18" s="12">
        <v>3750</v>
      </c>
      <c r="H18" s="22">
        <f>I18/'BCIS Smmary'!$L$6</f>
        <v>16.522589684616808</v>
      </c>
      <c r="I18" s="187">
        <f>F18*G18</f>
        <v>37500</v>
      </c>
      <c r="J18" s="3"/>
      <c r="K18" s="1"/>
      <c r="L18" s="1"/>
      <c r="M18" s="1"/>
      <c r="N18" s="1"/>
      <c r="O18" s="1"/>
    </row>
    <row r="19" spans="1:15" ht="12.75">
      <c r="A19" s="9"/>
      <c r="B19" s="33"/>
      <c r="C19" s="33"/>
      <c r="D19" s="33"/>
      <c r="E19" s="26"/>
      <c r="F19" s="8">
        <v>0</v>
      </c>
      <c r="G19" s="12">
        <v>0</v>
      </c>
      <c r="H19" s="22">
        <f>I19/'BCIS Smmary'!$L$6</f>
        <v>0</v>
      </c>
      <c r="I19" s="187">
        <f>F19*G19</f>
        <v>0</v>
      </c>
      <c r="J19" s="3"/>
      <c r="K19" s="1"/>
      <c r="L19" s="217"/>
      <c r="M19" s="1"/>
      <c r="N19" s="1"/>
      <c r="O19" s="1"/>
    </row>
    <row r="20" spans="1:15" ht="12.75">
      <c r="A20" s="9"/>
      <c r="B20" s="33" t="s">
        <v>419</v>
      </c>
      <c r="C20" s="33"/>
      <c r="D20" s="33"/>
      <c r="E20" s="6" t="s">
        <v>420</v>
      </c>
      <c r="F20" s="8">
        <v>1</v>
      </c>
      <c r="G20" s="12">
        <v>20000</v>
      </c>
      <c r="H20" s="22">
        <f>I20/'BCIS Smmary'!$L$6</f>
        <v>8.812047831795631</v>
      </c>
      <c r="I20" s="187">
        <f>F20*G20</f>
        <v>20000</v>
      </c>
      <c r="J20" s="3"/>
      <c r="K20" s="1"/>
      <c r="L20" s="217"/>
      <c r="M20" s="1"/>
      <c r="N20" s="1"/>
      <c r="O20" s="1"/>
    </row>
    <row r="21" spans="1:15" ht="12.75">
      <c r="A21" s="9"/>
      <c r="B21" s="33"/>
      <c r="C21" s="33"/>
      <c r="D21" s="33"/>
      <c r="E21" s="6"/>
      <c r="F21" s="8">
        <v>0</v>
      </c>
      <c r="G21" s="12">
        <v>0</v>
      </c>
      <c r="H21" s="22">
        <f>I21/'BCIS Smmary'!$L$6</f>
        <v>0</v>
      </c>
      <c r="I21" s="187">
        <f>F21*G21</f>
        <v>0</v>
      </c>
      <c r="J21" s="3"/>
      <c r="K21" s="1"/>
      <c r="L21" s="217"/>
      <c r="M21" s="1"/>
      <c r="N21" s="1"/>
      <c r="O21" s="1"/>
    </row>
    <row r="22" spans="1:15" ht="12.75">
      <c r="A22" s="9"/>
      <c r="B22" s="33"/>
      <c r="C22" s="33"/>
      <c r="D22" s="33"/>
      <c r="E22" s="26"/>
      <c r="F22" s="8">
        <v>0</v>
      </c>
      <c r="G22" s="12">
        <v>0</v>
      </c>
      <c r="H22" s="22">
        <f>I22/'BCIS Smmary'!$L$6</f>
        <v>0</v>
      </c>
      <c r="I22" s="187">
        <f t="shared" si="0"/>
        <v>0</v>
      </c>
      <c r="J22" s="3"/>
      <c r="K22" s="1"/>
      <c r="L22" s="1"/>
      <c r="M22" s="1"/>
      <c r="N22" s="1"/>
      <c r="O22" s="1"/>
    </row>
    <row r="23" spans="1:15" ht="12.75">
      <c r="A23" s="9"/>
      <c r="B23" s="33"/>
      <c r="C23" s="33"/>
      <c r="D23" s="33"/>
      <c r="E23" s="26"/>
      <c r="F23" s="8">
        <v>0</v>
      </c>
      <c r="G23" s="12">
        <v>0</v>
      </c>
      <c r="H23" s="22">
        <f>I23/'BCIS Smmary'!$L$6</f>
        <v>0</v>
      </c>
      <c r="I23" s="187">
        <f t="shared" si="0"/>
        <v>0</v>
      </c>
      <c r="J23" s="3"/>
      <c r="K23" s="1"/>
      <c r="L23" s="217"/>
      <c r="M23" s="1"/>
      <c r="N23" s="1"/>
      <c r="O23" s="1"/>
    </row>
    <row r="24" spans="1:15" ht="12.75">
      <c r="A24" s="9"/>
      <c r="B24" s="33"/>
      <c r="C24" s="33"/>
      <c r="D24" s="33"/>
      <c r="E24" s="6"/>
      <c r="F24" s="8">
        <v>0</v>
      </c>
      <c r="G24" s="12">
        <v>0</v>
      </c>
      <c r="H24" s="22">
        <f>I24/'BCIS Smmary'!$L$6</f>
        <v>0</v>
      </c>
      <c r="I24" s="187">
        <f t="shared" si="0"/>
        <v>0</v>
      </c>
      <c r="J24" s="3"/>
      <c r="K24" s="1"/>
      <c r="L24" s="1"/>
      <c r="M24" s="1"/>
      <c r="N24" s="1"/>
      <c r="O24" s="1"/>
    </row>
    <row r="25" spans="1:15" ht="12.75">
      <c r="A25" s="9"/>
      <c r="B25" s="33"/>
      <c r="C25" s="33"/>
      <c r="D25" s="33"/>
      <c r="E25" s="6"/>
      <c r="F25" s="8">
        <v>0</v>
      </c>
      <c r="G25" s="12">
        <v>0</v>
      </c>
      <c r="H25" s="22">
        <f>I25/'BCIS Smmary'!$L$6</f>
        <v>0</v>
      </c>
      <c r="I25" s="187">
        <f t="shared" si="0"/>
        <v>0</v>
      </c>
      <c r="J25" s="226"/>
      <c r="K25" s="1"/>
      <c r="L25" s="1"/>
      <c r="M25" s="1"/>
      <c r="N25" s="1"/>
      <c r="O25" s="1"/>
    </row>
    <row r="26" spans="1:15" ht="12.75">
      <c r="A26" s="9"/>
      <c r="B26" s="33"/>
      <c r="C26" s="33"/>
      <c r="D26" s="33"/>
      <c r="E26" s="26"/>
      <c r="F26" s="8">
        <v>0</v>
      </c>
      <c r="G26" s="12">
        <v>0</v>
      </c>
      <c r="H26" s="22">
        <f>I26/'BCIS Smmary'!$L$6</f>
        <v>0</v>
      </c>
      <c r="I26" s="187">
        <f t="shared" si="0"/>
        <v>0</v>
      </c>
      <c r="J26" s="3"/>
      <c r="K26" s="1"/>
      <c r="L26" s="1"/>
      <c r="M26" s="1"/>
      <c r="N26" s="1"/>
      <c r="O26" s="1"/>
    </row>
    <row r="27" spans="1:15" ht="12.75">
      <c r="A27" s="9"/>
      <c r="B27" s="33"/>
      <c r="C27" s="33"/>
      <c r="D27" s="33"/>
      <c r="E27" s="26"/>
      <c r="F27" s="8">
        <v>0</v>
      </c>
      <c r="G27" s="12">
        <v>0</v>
      </c>
      <c r="H27" s="22">
        <f>I27/'BCIS Smmary'!$L$6</f>
        <v>0</v>
      </c>
      <c r="I27" s="187">
        <f t="shared" si="0"/>
        <v>0</v>
      </c>
      <c r="J27" s="3"/>
      <c r="K27" s="1"/>
      <c r="L27" s="217"/>
      <c r="M27" s="217"/>
      <c r="N27" s="217"/>
      <c r="O27" s="1"/>
    </row>
    <row r="28" spans="1:15" ht="12.75">
      <c r="A28" s="9"/>
      <c r="B28" s="33"/>
      <c r="C28" s="33"/>
      <c r="D28" s="33"/>
      <c r="E28" s="6"/>
      <c r="F28" s="8">
        <v>0</v>
      </c>
      <c r="G28" s="12">
        <v>0</v>
      </c>
      <c r="H28" s="22">
        <f>I28/'BCIS Smmary'!$L$6</f>
        <v>0</v>
      </c>
      <c r="I28" s="187">
        <f t="shared" si="0"/>
        <v>0</v>
      </c>
      <c r="J28" s="3"/>
      <c r="K28" s="1"/>
      <c r="L28" s="1"/>
      <c r="M28" s="217"/>
      <c r="N28" s="217"/>
      <c r="O28" s="1"/>
    </row>
    <row r="29" spans="1:15" ht="12.75">
      <c r="A29" s="9"/>
      <c r="B29" s="33"/>
      <c r="C29" s="33"/>
      <c r="D29" s="10"/>
      <c r="E29" s="6"/>
      <c r="F29" s="8">
        <v>0</v>
      </c>
      <c r="G29" s="12">
        <v>0</v>
      </c>
      <c r="H29" s="22">
        <f>I29/'BCIS Smmary'!$L$6</f>
        <v>0</v>
      </c>
      <c r="I29" s="187">
        <f t="shared" si="0"/>
        <v>0</v>
      </c>
      <c r="J29" s="3"/>
      <c r="K29" s="1"/>
      <c r="L29" s="1"/>
      <c r="M29" s="217"/>
      <c r="N29" s="217"/>
      <c r="O29" s="1"/>
    </row>
    <row r="30" spans="1:15" ht="12.75">
      <c r="A30" s="9"/>
      <c r="B30" s="33"/>
      <c r="C30" s="33"/>
      <c r="D30" s="33"/>
      <c r="E30" s="26"/>
      <c r="F30" s="8">
        <v>0</v>
      </c>
      <c r="G30" s="12">
        <v>0</v>
      </c>
      <c r="H30" s="22">
        <f>I30/'BCIS Smmary'!$L$6</f>
        <v>0</v>
      </c>
      <c r="I30" s="187">
        <f t="shared" si="0"/>
        <v>0</v>
      </c>
      <c r="J30" s="3"/>
      <c r="K30" s="1"/>
      <c r="L30" s="1"/>
      <c r="M30" s="1"/>
      <c r="N30" s="1"/>
      <c r="O30" s="1"/>
    </row>
    <row r="31" spans="1:9" ht="12.75">
      <c r="A31" s="9"/>
      <c r="B31" s="33"/>
      <c r="C31" s="47"/>
      <c r="D31" s="47"/>
      <c r="E31" s="26"/>
      <c r="F31" s="8">
        <v>0</v>
      </c>
      <c r="G31" s="12">
        <v>0</v>
      </c>
      <c r="H31" s="22">
        <f>I31/'BCIS Smmary'!$L$6</f>
        <v>0</v>
      </c>
      <c r="I31" s="23">
        <f t="shared" si="0"/>
        <v>0</v>
      </c>
    </row>
    <row r="32" spans="1:9" ht="12.75">
      <c r="A32" s="9"/>
      <c r="B32" s="33"/>
      <c r="C32" s="47"/>
      <c r="D32" s="47"/>
      <c r="E32" s="6"/>
      <c r="F32" s="8">
        <v>0</v>
      </c>
      <c r="G32" s="12">
        <v>0</v>
      </c>
      <c r="H32" s="22">
        <f>I32/'BCIS Smmary'!$L$6</f>
        <v>0</v>
      </c>
      <c r="I32" s="23">
        <f t="shared" si="0"/>
        <v>0</v>
      </c>
    </row>
    <row r="33" spans="1:9" ht="12.75">
      <c r="A33" s="9"/>
      <c r="B33" s="33"/>
      <c r="C33" s="47"/>
      <c r="D33" s="47"/>
      <c r="E33" s="26"/>
      <c r="F33" s="8">
        <v>0</v>
      </c>
      <c r="G33" s="12">
        <v>0</v>
      </c>
      <c r="H33" s="22">
        <f>I33/'BCIS Smmary'!$L$6</f>
        <v>0</v>
      </c>
      <c r="I33" s="23">
        <f t="shared" si="0"/>
        <v>0</v>
      </c>
    </row>
    <row r="34" spans="1:9" ht="12.75">
      <c r="A34" s="9"/>
      <c r="B34" s="33"/>
      <c r="C34" s="47"/>
      <c r="D34" s="47"/>
      <c r="E34" s="26"/>
      <c r="F34" s="8"/>
      <c r="G34" s="12">
        <v>0</v>
      </c>
      <c r="H34" s="22">
        <f>I34/'BCIS Smmary'!$L$6</f>
        <v>0</v>
      </c>
      <c r="I34" s="23">
        <f t="shared" si="0"/>
        <v>0</v>
      </c>
    </row>
    <row r="35" spans="1:9" ht="12.75">
      <c r="A35" s="9"/>
      <c r="B35" s="33"/>
      <c r="C35" s="47"/>
      <c r="D35" s="47"/>
      <c r="E35" s="26"/>
      <c r="F35" s="8">
        <v>0</v>
      </c>
      <c r="G35" s="12">
        <v>0</v>
      </c>
      <c r="H35" s="22">
        <f>I35/'BCIS Smmary'!$L$6</f>
        <v>0</v>
      </c>
      <c r="I35" s="23">
        <f t="shared" si="0"/>
        <v>0</v>
      </c>
    </row>
    <row r="36" spans="1:9" ht="12.75">
      <c r="A36" s="9"/>
      <c r="B36" s="33"/>
      <c r="C36" s="47"/>
      <c r="D36" s="47"/>
      <c r="E36" s="6"/>
      <c r="F36" s="8">
        <v>0</v>
      </c>
      <c r="G36" s="12">
        <v>0</v>
      </c>
      <c r="H36" s="22">
        <f>I36/'BCIS Smmary'!$L$6</f>
        <v>0</v>
      </c>
      <c r="I36" s="23">
        <f t="shared" si="0"/>
        <v>0</v>
      </c>
    </row>
    <row r="37" spans="1:9" ht="12.75">
      <c r="A37" s="26"/>
      <c r="B37" s="33"/>
      <c r="C37" s="33"/>
      <c r="D37" s="33"/>
      <c r="E37" s="6"/>
      <c r="F37" s="8">
        <v>0</v>
      </c>
      <c r="G37" s="12">
        <v>0</v>
      </c>
      <c r="H37" s="22">
        <f>I37/'BCIS Smmary'!$L$6</f>
        <v>0</v>
      </c>
      <c r="I37" s="23">
        <f t="shared" si="0"/>
        <v>0</v>
      </c>
    </row>
    <row r="38" spans="1:9" ht="12.75">
      <c r="A38" s="26"/>
      <c r="B38" s="33"/>
      <c r="C38" s="33"/>
      <c r="D38" s="33"/>
      <c r="E38" s="6"/>
      <c r="F38" s="8">
        <v>0</v>
      </c>
      <c r="G38" s="12">
        <v>0</v>
      </c>
      <c r="H38" s="22">
        <f>I38/'BCIS Smmary'!$L$6</f>
        <v>0</v>
      </c>
      <c r="I38" s="23">
        <f t="shared" si="0"/>
        <v>0</v>
      </c>
    </row>
    <row r="39" spans="1:9" ht="12.75">
      <c r="A39" s="26"/>
      <c r="B39" s="33"/>
      <c r="C39" s="33"/>
      <c r="D39" s="33"/>
      <c r="E39" s="6"/>
      <c r="F39" s="8">
        <v>0</v>
      </c>
      <c r="G39" s="12">
        <v>0</v>
      </c>
      <c r="H39" s="22">
        <f>I39/'BCIS Smmary'!$L$6</f>
        <v>0</v>
      </c>
      <c r="I39" s="23">
        <f t="shared" si="0"/>
        <v>0</v>
      </c>
    </row>
    <row r="40" spans="1:9" ht="12.75">
      <c r="A40" s="26"/>
      <c r="B40" s="33"/>
      <c r="C40" s="33"/>
      <c r="D40" s="33"/>
      <c r="E40" s="6"/>
      <c r="F40" s="8">
        <v>0</v>
      </c>
      <c r="G40" s="12">
        <v>0</v>
      </c>
      <c r="H40" s="22">
        <f>I40/'BCIS Smmary'!$L$6</f>
        <v>0</v>
      </c>
      <c r="I40" s="23">
        <f t="shared" si="0"/>
        <v>0</v>
      </c>
    </row>
    <row r="41" spans="1:9" ht="11.25" customHeight="1">
      <c r="A41" s="26"/>
      <c r="B41" s="33"/>
      <c r="C41" s="33"/>
      <c r="D41" s="33"/>
      <c r="E41" s="6"/>
      <c r="F41" s="8">
        <v>0</v>
      </c>
      <c r="G41" s="12">
        <v>0</v>
      </c>
      <c r="H41" s="22">
        <f>I41/'BCIS Smmary'!$L$6</f>
        <v>0</v>
      </c>
      <c r="I41" s="23">
        <f t="shared" si="0"/>
        <v>0</v>
      </c>
    </row>
    <row r="42" spans="1:9" ht="12.75">
      <c r="A42" s="26"/>
      <c r="B42" s="47"/>
      <c r="C42" s="47"/>
      <c r="D42" s="47"/>
      <c r="E42" s="48"/>
      <c r="F42" s="8">
        <v>0</v>
      </c>
      <c r="G42" s="12">
        <v>0</v>
      </c>
      <c r="H42" s="22">
        <f>I42/'BCIS Smmary'!$L$6</f>
        <v>0</v>
      </c>
      <c r="I42" s="23">
        <f t="shared" si="0"/>
        <v>0</v>
      </c>
    </row>
    <row r="43" spans="1:9" ht="12.75">
      <c r="A43" s="26"/>
      <c r="B43" s="33"/>
      <c r="C43" s="47"/>
      <c r="D43" s="47"/>
      <c r="E43" s="26"/>
      <c r="F43" s="8">
        <v>0</v>
      </c>
      <c r="G43" s="12">
        <v>0</v>
      </c>
      <c r="H43" s="22">
        <f>I43/'BCIS Smmary'!$L$6</f>
        <v>0</v>
      </c>
      <c r="I43" s="23">
        <f t="shared" si="0"/>
        <v>0</v>
      </c>
    </row>
    <row r="44" spans="1:9" ht="12.75">
      <c r="A44" s="26"/>
      <c r="B44" s="33"/>
      <c r="C44" s="33"/>
      <c r="D44" s="33"/>
      <c r="E44" s="6"/>
      <c r="F44" s="8">
        <v>0</v>
      </c>
      <c r="G44" s="12">
        <v>0</v>
      </c>
      <c r="H44" s="22">
        <f>I44/'BCIS Smmary'!$L$6</f>
        <v>0</v>
      </c>
      <c r="I44" s="23">
        <f t="shared" si="0"/>
        <v>0</v>
      </c>
    </row>
    <row r="45" spans="1:9" ht="12.75">
      <c r="A45" s="26"/>
      <c r="B45" s="33"/>
      <c r="C45" s="33"/>
      <c r="D45" s="33"/>
      <c r="E45" s="6"/>
      <c r="F45" s="8">
        <v>0</v>
      </c>
      <c r="G45" s="12">
        <v>0</v>
      </c>
      <c r="H45" s="22">
        <f>I45/'BCIS Smmary'!$L$6</f>
        <v>0</v>
      </c>
      <c r="I45" s="23">
        <f t="shared" si="0"/>
        <v>0</v>
      </c>
    </row>
    <row r="46" spans="1:9" ht="12.75">
      <c r="A46" s="26"/>
      <c r="B46" s="33"/>
      <c r="C46" s="33"/>
      <c r="D46" s="33"/>
      <c r="E46" s="6"/>
      <c r="F46" s="8">
        <v>0</v>
      </c>
      <c r="G46" s="12">
        <v>0</v>
      </c>
      <c r="H46" s="22">
        <f>I46/'BCIS Smmary'!$L$6</f>
        <v>0</v>
      </c>
      <c r="I46" s="23">
        <f t="shared" si="0"/>
        <v>0</v>
      </c>
    </row>
    <row r="47" spans="1:9" ht="12.75">
      <c r="A47" s="26"/>
      <c r="B47" s="33"/>
      <c r="C47" s="33"/>
      <c r="D47" s="33"/>
      <c r="E47" s="6"/>
      <c r="F47" s="8">
        <v>0</v>
      </c>
      <c r="G47" s="12">
        <v>0</v>
      </c>
      <c r="H47" s="22">
        <f>I47/'BCIS Smmary'!$L$6</f>
        <v>0</v>
      </c>
      <c r="I47" s="23">
        <f t="shared" si="0"/>
        <v>0</v>
      </c>
    </row>
    <row r="48" spans="1:9" ht="12.75">
      <c r="A48" s="26"/>
      <c r="B48" s="33"/>
      <c r="C48" s="33"/>
      <c r="D48" s="33"/>
      <c r="E48" s="6"/>
      <c r="F48" s="8">
        <v>0</v>
      </c>
      <c r="G48" s="12">
        <v>0</v>
      </c>
      <c r="H48" s="22">
        <f>I48/'BCIS Smmary'!$L$6</f>
        <v>0</v>
      </c>
      <c r="I48" s="23">
        <f t="shared" si="0"/>
        <v>0</v>
      </c>
    </row>
    <row r="49" spans="1:9" ht="12.75">
      <c r="A49" s="26"/>
      <c r="B49" s="33"/>
      <c r="C49" s="33"/>
      <c r="D49" s="33"/>
      <c r="E49" s="6"/>
      <c r="F49" s="8">
        <v>0</v>
      </c>
      <c r="G49" s="12">
        <v>0</v>
      </c>
      <c r="H49" s="22">
        <f>I49/'BCIS Smmary'!$L$6</f>
        <v>0</v>
      </c>
      <c r="I49" s="23">
        <f t="shared" si="0"/>
        <v>0</v>
      </c>
    </row>
    <row r="50" spans="1:9" ht="12.75">
      <c r="A50" s="34" t="s">
        <v>48</v>
      </c>
      <c r="B50" s="35"/>
      <c r="C50" s="35"/>
      <c r="D50" s="35"/>
      <c r="E50" s="18"/>
      <c r="F50" s="25" t="s">
        <v>8</v>
      </c>
      <c r="G50" s="24"/>
      <c r="H50" s="32">
        <f>I50/'BCIS Smmary'!$L$6</f>
        <v>100.73822930710868</v>
      </c>
      <c r="I50" s="31">
        <f>SUM(I5:I49)</f>
        <v>228637.5</v>
      </c>
    </row>
    <row r="51" spans="1:10" ht="12.75">
      <c r="A51" s="3"/>
      <c r="B51" s="1"/>
      <c r="C51" s="1"/>
      <c r="D51" s="1"/>
      <c r="E51" s="1"/>
      <c r="F51" s="1"/>
      <c r="G51" s="1"/>
      <c r="H51" s="1"/>
      <c r="I51" s="1"/>
      <c r="J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printOptions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&amp;L&amp;D  &amp;T&amp;C5
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45"/>
  <sheetViews>
    <sheetView workbookViewId="0" topLeftCell="A1">
      <selection activeCell="B6" sqref="B6:I31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13.140625" style="0" customWidth="1"/>
    <col min="4" max="4" width="27.28125" style="0" customWidth="1"/>
    <col min="5" max="5" width="5.7109375" style="0" customWidth="1"/>
    <col min="6" max="6" width="9.28125" style="0" bestFit="1" customWidth="1"/>
    <col min="7" max="7" width="12.28125" style="30" bestFit="1" customWidth="1"/>
    <col min="8" max="8" width="10.00390625" style="0" customWidth="1"/>
    <col min="9" max="9" width="13.140625" style="0" customWidth="1"/>
  </cols>
  <sheetData>
    <row r="1" spans="1:9" ht="12.75">
      <c r="A1" s="57" t="s">
        <v>10</v>
      </c>
      <c r="B1" s="58"/>
      <c r="C1" s="58"/>
      <c r="D1" s="59" t="s">
        <v>42</v>
      </c>
      <c r="E1" s="58"/>
      <c r="F1" s="58"/>
      <c r="G1" s="60"/>
      <c r="H1" s="58"/>
      <c r="I1" s="61"/>
    </row>
    <row r="2" spans="1:9" ht="12.75">
      <c r="A2" s="62" t="s">
        <v>11</v>
      </c>
      <c r="B2" s="63"/>
      <c r="C2" s="63"/>
      <c r="D2" s="63"/>
      <c r="E2" s="14" t="s">
        <v>0</v>
      </c>
      <c r="F2" s="64" t="s">
        <v>4</v>
      </c>
      <c r="G2" s="65" t="s">
        <v>4</v>
      </c>
      <c r="H2" s="64" t="s">
        <v>26</v>
      </c>
      <c r="I2" s="66" t="s">
        <v>1</v>
      </c>
    </row>
    <row r="3" spans="1:9" ht="12.75">
      <c r="A3" s="6"/>
      <c r="B3" s="7"/>
      <c r="C3" s="7"/>
      <c r="D3" s="7"/>
      <c r="E3" s="17" t="s">
        <v>9</v>
      </c>
      <c r="F3" s="15" t="s">
        <v>6</v>
      </c>
      <c r="G3" s="55" t="s">
        <v>5</v>
      </c>
      <c r="H3" s="15" t="s">
        <v>3</v>
      </c>
      <c r="I3" s="16" t="s">
        <v>2</v>
      </c>
    </row>
    <row r="4" spans="1:14" ht="12.75">
      <c r="A4" s="18"/>
      <c r="B4" s="13"/>
      <c r="C4" s="13"/>
      <c r="D4" s="13"/>
      <c r="E4" s="19"/>
      <c r="F4" s="20"/>
      <c r="G4" s="56" t="s">
        <v>7</v>
      </c>
      <c r="H4" s="19" t="s">
        <v>7</v>
      </c>
      <c r="I4" s="20" t="s">
        <v>7</v>
      </c>
      <c r="J4" s="225"/>
      <c r="K4" s="214"/>
      <c r="L4" s="221"/>
      <c r="M4" s="214"/>
      <c r="N4" s="214"/>
    </row>
    <row r="5" spans="1:14" ht="12.75">
      <c r="A5" s="9"/>
      <c r="B5" s="33"/>
      <c r="C5" s="33"/>
      <c r="D5" s="33"/>
      <c r="E5" s="6"/>
      <c r="F5" s="8"/>
      <c r="G5" s="39"/>
      <c r="H5" s="22"/>
      <c r="I5" s="187"/>
      <c r="J5" s="3"/>
      <c r="K5" s="1"/>
      <c r="L5" s="1"/>
      <c r="M5" s="1"/>
      <c r="N5" s="1"/>
    </row>
    <row r="6" spans="1:14" ht="12.75">
      <c r="A6" s="9"/>
      <c r="B6" s="33" t="s">
        <v>323</v>
      </c>
      <c r="C6" s="33"/>
      <c r="D6" s="33"/>
      <c r="E6" s="6" t="s">
        <v>36</v>
      </c>
      <c r="F6" s="8">
        <f>Areas!D47</f>
        <v>488.85</v>
      </c>
      <c r="G6" s="39">
        <f>D12</f>
        <v>100</v>
      </c>
      <c r="H6" s="22">
        <f>I6/'BCIS Smmary'!$L$6</f>
        <v>21.538847912866473</v>
      </c>
      <c r="I6" s="187">
        <f aca="true" t="shared" si="0" ref="I6:I13">F6*G6</f>
        <v>48885</v>
      </c>
      <c r="J6" s="226"/>
      <c r="K6" s="217"/>
      <c r="L6" s="217"/>
      <c r="M6" s="1"/>
      <c r="N6" s="1"/>
    </row>
    <row r="7" spans="1:14" ht="12.75">
      <c r="A7" s="9"/>
      <c r="B7" s="33"/>
      <c r="C7" s="33"/>
      <c r="D7" s="33"/>
      <c r="E7" s="6"/>
      <c r="F7" s="8">
        <v>0</v>
      </c>
      <c r="G7" s="39">
        <v>0</v>
      </c>
      <c r="H7" s="22">
        <f>I7/'BCIS Smmary'!$L$6</f>
        <v>0</v>
      </c>
      <c r="I7" s="187">
        <f t="shared" si="0"/>
        <v>0</v>
      </c>
      <c r="J7" s="3"/>
      <c r="K7" s="1"/>
      <c r="L7" s="217"/>
      <c r="M7" s="1"/>
      <c r="N7" s="1"/>
    </row>
    <row r="8" spans="1:14" ht="12.75">
      <c r="A8" s="9"/>
      <c r="B8" s="33"/>
      <c r="C8" s="33" t="s">
        <v>167</v>
      </c>
      <c r="D8" s="33">
        <v>50</v>
      </c>
      <c r="E8" s="6"/>
      <c r="F8" s="8">
        <v>0</v>
      </c>
      <c r="G8" s="39">
        <v>0</v>
      </c>
      <c r="H8" s="22">
        <f>I8/'BCIS Smmary'!$L$6</f>
        <v>0</v>
      </c>
      <c r="I8" s="187">
        <f t="shared" si="0"/>
        <v>0</v>
      </c>
      <c r="J8" s="200"/>
      <c r="K8" s="1"/>
      <c r="L8" s="1"/>
      <c r="M8" s="1"/>
      <c r="N8" s="1"/>
    </row>
    <row r="9" spans="1:14" ht="12.75">
      <c r="A9" s="9"/>
      <c r="B9" s="33"/>
      <c r="C9" s="33" t="s">
        <v>168</v>
      </c>
      <c r="D9" s="33">
        <v>25</v>
      </c>
      <c r="E9" s="6"/>
      <c r="F9" s="8">
        <v>0</v>
      </c>
      <c r="G9" s="39">
        <v>0</v>
      </c>
      <c r="H9" s="22">
        <f>I9/'BCIS Smmary'!$L$6</f>
        <v>0</v>
      </c>
      <c r="I9" s="187">
        <f t="shared" si="0"/>
        <v>0</v>
      </c>
      <c r="J9" s="200"/>
      <c r="K9" s="1"/>
      <c r="L9" s="1"/>
      <c r="M9" s="1"/>
      <c r="N9" s="1"/>
    </row>
    <row r="10" spans="1:14" ht="12.75">
      <c r="A10" s="9"/>
      <c r="B10" s="33"/>
      <c r="C10" s="33" t="s">
        <v>295</v>
      </c>
      <c r="D10" s="33">
        <v>25</v>
      </c>
      <c r="E10" s="6"/>
      <c r="F10" s="8">
        <v>0</v>
      </c>
      <c r="G10" s="39">
        <v>0</v>
      </c>
      <c r="H10" s="22">
        <f>I10/'BCIS Smmary'!$L$6</f>
        <v>0</v>
      </c>
      <c r="I10" s="187">
        <f t="shared" si="0"/>
        <v>0</v>
      </c>
      <c r="J10" s="200"/>
      <c r="K10" s="1"/>
      <c r="L10" s="1"/>
      <c r="M10" s="1"/>
      <c r="N10" s="1"/>
    </row>
    <row r="11" spans="1:14" ht="12.75">
      <c r="A11" s="9"/>
      <c r="B11" s="33"/>
      <c r="C11" s="33"/>
      <c r="D11" s="33"/>
      <c r="E11" s="26"/>
      <c r="F11" s="8">
        <v>0</v>
      </c>
      <c r="G11" s="39">
        <v>0</v>
      </c>
      <c r="H11" s="22">
        <f>I11/'BCIS Smmary'!$L$6</f>
        <v>0</v>
      </c>
      <c r="I11" s="187">
        <f t="shared" si="0"/>
        <v>0</v>
      </c>
      <c r="J11" s="200"/>
      <c r="K11" s="1"/>
      <c r="L11" s="1"/>
      <c r="M11" s="1"/>
      <c r="N11" s="1"/>
    </row>
    <row r="12" spans="1:14" ht="12.75">
      <c r="A12" s="9"/>
      <c r="B12" s="33"/>
      <c r="C12" s="33"/>
      <c r="D12" s="245">
        <f>SUM(D8:D11)</f>
        <v>100</v>
      </c>
      <c r="E12" s="6"/>
      <c r="F12" s="8">
        <v>0</v>
      </c>
      <c r="G12" s="39">
        <v>0</v>
      </c>
      <c r="H12" s="22">
        <f>I12/'BCIS Smmary'!$L$6</f>
        <v>0</v>
      </c>
      <c r="I12" s="187">
        <f t="shared" si="0"/>
        <v>0</v>
      </c>
      <c r="J12" s="200"/>
      <c r="K12" s="1"/>
      <c r="L12" s="1"/>
      <c r="M12" s="1"/>
      <c r="N12" s="1"/>
    </row>
    <row r="13" spans="1:14" ht="12.75">
      <c r="A13" s="9"/>
      <c r="C13" s="33"/>
      <c r="D13" s="33"/>
      <c r="E13" s="26"/>
      <c r="F13" s="8">
        <v>0</v>
      </c>
      <c r="G13" s="39">
        <v>0</v>
      </c>
      <c r="H13" s="22">
        <f>I13/'BCIS Smmary'!$L$6</f>
        <v>0</v>
      </c>
      <c r="I13" s="187">
        <f t="shared" si="0"/>
        <v>0</v>
      </c>
      <c r="J13" s="200"/>
      <c r="K13" s="1"/>
      <c r="L13" s="1"/>
      <c r="M13" s="1"/>
      <c r="N13" s="1"/>
    </row>
    <row r="14" spans="1:14" ht="12.75">
      <c r="A14" s="9"/>
      <c r="C14" s="54" t="s">
        <v>296</v>
      </c>
      <c r="E14" s="26" t="s">
        <v>223</v>
      </c>
      <c r="F14" s="8">
        <f>Areas!E47</f>
        <v>218.05</v>
      </c>
      <c r="G14" s="39">
        <v>15</v>
      </c>
      <c r="H14" s="22">
        <f>I14/'BCIS Smmary'!$L$6</f>
        <v>1.441100272292278</v>
      </c>
      <c r="I14" s="187">
        <f aca="true" t="shared" si="1" ref="I14:I20">F14*G14</f>
        <v>3270.75</v>
      </c>
      <c r="J14" s="226"/>
      <c r="K14" s="1"/>
      <c r="L14" s="217"/>
      <c r="M14" s="1"/>
      <c r="N14" s="1"/>
    </row>
    <row r="15" spans="1:14" ht="12.75">
      <c r="A15" s="9"/>
      <c r="C15" s="54" t="s">
        <v>426</v>
      </c>
      <c r="E15" s="26" t="s">
        <v>223</v>
      </c>
      <c r="F15" s="8">
        <f>Areas!E47-F25</f>
        <v>166.05</v>
      </c>
      <c r="G15" s="39">
        <v>115</v>
      </c>
      <c r="H15" s="22">
        <f>I15/'BCIS Smmary'!$L$6</f>
        <v>8.413633119200572</v>
      </c>
      <c r="I15" s="187">
        <f t="shared" si="1"/>
        <v>19095.75</v>
      </c>
      <c r="J15" s="3"/>
      <c r="K15" s="1"/>
      <c r="L15" s="1"/>
      <c r="M15" s="1"/>
      <c r="N15" s="1"/>
    </row>
    <row r="16" spans="1:14" ht="12.75">
      <c r="A16" s="9"/>
      <c r="E16" s="26"/>
      <c r="F16" s="8">
        <v>0</v>
      </c>
      <c r="G16" s="39">
        <v>0</v>
      </c>
      <c r="H16" s="22">
        <f>I16/'BCIS Smmary'!$L$6</f>
        <v>0</v>
      </c>
      <c r="I16" s="187">
        <f t="shared" si="1"/>
        <v>0</v>
      </c>
      <c r="J16" s="3"/>
      <c r="K16" s="1"/>
      <c r="L16" s="217"/>
      <c r="M16" s="1"/>
      <c r="N16" s="1"/>
    </row>
    <row r="17" spans="1:14" ht="12.75">
      <c r="A17" s="9"/>
      <c r="B17" t="s">
        <v>287</v>
      </c>
      <c r="E17" s="6" t="s">
        <v>36</v>
      </c>
      <c r="F17" s="8">
        <f>Areas!D56</f>
        <v>49.379999999999995</v>
      </c>
      <c r="G17" s="39">
        <v>145</v>
      </c>
      <c r="H17" s="22">
        <f>I17/'BCIS Smmary'!$L$6</f>
        <v>3.1547571840219946</v>
      </c>
      <c r="I17" s="187">
        <f t="shared" si="1"/>
        <v>7160.099999999999</v>
      </c>
      <c r="J17" s="226"/>
      <c r="K17" s="1"/>
      <c r="L17" s="1"/>
      <c r="M17" s="1"/>
      <c r="N17" s="1"/>
    </row>
    <row r="18" spans="1:14" ht="12.75">
      <c r="A18" s="9"/>
      <c r="E18" s="26"/>
      <c r="F18" s="8">
        <v>0</v>
      </c>
      <c r="G18" s="39">
        <v>0</v>
      </c>
      <c r="H18" s="22">
        <f>I18/'BCIS Smmary'!$L$6</f>
        <v>0</v>
      </c>
      <c r="I18" s="187">
        <f t="shared" si="1"/>
        <v>0</v>
      </c>
      <c r="J18" s="3"/>
      <c r="K18" s="1"/>
      <c r="L18" s="217"/>
      <c r="M18" s="1"/>
      <c r="N18" s="1"/>
    </row>
    <row r="19" spans="1:14" ht="12.75">
      <c r="A19" s="9"/>
      <c r="C19" t="s">
        <v>297</v>
      </c>
      <c r="E19" s="26" t="s">
        <v>223</v>
      </c>
      <c r="F19" s="8">
        <f>Areas!E56</f>
        <v>60.2</v>
      </c>
      <c r="G19" s="39">
        <v>15</v>
      </c>
      <c r="H19" s="22">
        <f>I19/'BCIS Smmary'!$L$6</f>
        <v>0.39786395960557275</v>
      </c>
      <c r="I19" s="187">
        <f t="shared" si="1"/>
        <v>903</v>
      </c>
      <c r="J19" s="3"/>
      <c r="K19" s="1"/>
      <c r="L19" s="217"/>
      <c r="M19" s="1"/>
      <c r="N19" s="1"/>
    </row>
    <row r="20" spans="1:14" ht="12.75">
      <c r="A20" s="9"/>
      <c r="C20" t="s">
        <v>424</v>
      </c>
      <c r="E20" s="6"/>
      <c r="F20" s="8"/>
      <c r="G20" s="39">
        <v>0</v>
      </c>
      <c r="H20" s="22">
        <f>I20/'BCIS Smmary'!$L$6</f>
        <v>0</v>
      </c>
      <c r="I20" s="187">
        <f t="shared" si="1"/>
        <v>0</v>
      </c>
      <c r="J20" s="3"/>
      <c r="K20" s="1"/>
      <c r="L20" s="187"/>
      <c r="M20" s="1"/>
      <c r="N20" s="1"/>
    </row>
    <row r="21" spans="1:14" ht="12.75">
      <c r="A21" s="9"/>
      <c r="B21" s="33"/>
      <c r="C21" s="33"/>
      <c r="D21" s="33"/>
      <c r="E21" s="6"/>
      <c r="F21" s="8">
        <v>0</v>
      </c>
      <c r="G21" s="39">
        <v>0</v>
      </c>
      <c r="H21" s="22">
        <f>I21/'BCIS Smmary'!$L$6</f>
        <v>0</v>
      </c>
      <c r="I21" s="187">
        <f aca="true" t="shared" si="2" ref="I21:I33">F21*G21</f>
        <v>0</v>
      </c>
      <c r="J21" s="226"/>
      <c r="K21" s="1"/>
      <c r="L21" s="187"/>
      <c r="M21" s="1"/>
      <c r="N21" s="1"/>
    </row>
    <row r="22" spans="1:14" ht="12.75">
      <c r="A22" s="9"/>
      <c r="B22" s="33" t="s">
        <v>425</v>
      </c>
      <c r="C22" s="33"/>
      <c r="D22" s="69"/>
      <c r="E22" s="26"/>
      <c r="F22" s="8">
        <v>0</v>
      </c>
      <c r="G22" s="39">
        <v>0</v>
      </c>
      <c r="H22" s="22">
        <f>I22/'BCIS Smmary'!$L$6</f>
        <v>0</v>
      </c>
      <c r="I22" s="187">
        <f t="shared" si="2"/>
        <v>0</v>
      </c>
      <c r="J22" s="3"/>
      <c r="K22" s="1"/>
      <c r="L22" s="217"/>
      <c r="M22" s="1"/>
      <c r="N22" s="1"/>
    </row>
    <row r="23" spans="1:14" ht="12.75">
      <c r="A23" s="9"/>
      <c r="C23" s="33" t="s">
        <v>324</v>
      </c>
      <c r="D23" s="33"/>
      <c r="E23" s="6" t="s">
        <v>36</v>
      </c>
      <c r="F23" s="8">
        <f>Areas!D51</f>
        <v>144.01</v>
      </c>
      <c r="G23" s="39">
        <v>30</v>
      </c>
      <c r="H23" s="22">
        <f>I23/'BCIS Smmary'!$L$6</f>
        <v>1.9035345123853329</v>
      </c>
      <c r="I23" s="187">
        <f t="shared" si="2"/>
        <v>4320.299999999999</v>
      </c>
      <c r="J23" s="226"/>
      <c r="K23" s="1"/>
      <c r="L23" s="217"/>
      <c r="M23" s="1"/>
      <c r="N23" s="1"/>
    </row>
    <row r="24" spans="1:14" ht="12.75">
      <c r="A24" s="9"/>
      <c r="B24" s="33"/>
      <c r="C24" s="33"/>
      <c r="D24" s="33"/>
      <c r="E24" s="6"/>
      <c r="F24" s="8">
        <f>Areas!E51</f>
        <v>0</v>
      </c>
      <c r="G24" s="39">
        <v>0</v>
      </c>
      <c r="H24" s="22">
        <f>I24/'BCIS Smmary'!$L$6</f>
        <v>0</v>
      </c>
      <c r="I24" s="187">
        <f t="shared" si="2"/>
        <v>0</v>
      </c>
      <c r="J24" s="226"/>
      <c r="K24" s="1"/>
      <c r="L24" s="187"/>
      <c r="M24" s="1"/>
      <c r="N24" s="1"/>
    </row>
    <row r="25" spans="1:14" ht="12.75">
      <c r="A25" s="9"/>
      <c r="B25" s="33" t="s">
        <v>325</v>
      </c>
      <c r="C25" s="33"/>
      <c r="D25" s="33"/>
      <c r="E25" s="6" t="s">
        <v>223</v>
      </c>
      <c r="F25" s="8">
        <v>52</v>
      </c>
      <c r="G25" s="39">
        <v>350</v>
      </c>
      <c r="H25" s="22">
        <f>I25/'BCIS Smmary'!$L$6</f>
        <v>8.018963526934025</v>
      </c>
      <c r="I25" s="187">
        <f t="shared" si="2"/>
        <v>18200</v>
      </c>
      <c r="J25" s="3"/>
      <c r="K25" s="1"/>
      <c r="L25" s="217"/>
      <c r="M25" s="1"/>
      <c r="N25" s="1"/>
    </row>
    <row r="26" spans="1:9" ht="12.75">
      <c r="A26" s="9"/>
      <c r="B26" s="33"/>
      <c r="C26" s="33"/>
      <c r="D26" s="33"/>
      <c r="E26" s="6"/>
      <c r="F26" s="8">
        <v>0</v>
      </c>
      <c r="G26" s="39">
        <v>0</v>
      </c>
      <c r="H26" s="22">
        <f>I26/'BCIS Smmary'!$L$6</f>
        <v>0</v>
      </c>
      <c r="I26" s="23">
        <f t="shared" si="2"/>
        <v>0</v>
      </c>
    </row>
    <row r="27" spans="1:14" ht="12.75">
      <c r="A27" s="9"/>
      <c r="B27" s="33"/>
      <c r="C27" s="33"/>
      <c r="D27" s="33"/>
      <c r="E27" s="6"/>
      <c r="F27" s="8">
        <v>0</v>
      </c>
      <c r="G27" s="39">
        <v>0</v>
      </c>
      <c r="H27" s="22">
        <f>I27/'BCIS Smmary'!$L$6</f>
        <v>0</v>
      </c>
      <c r="I27" s="187">
        <f t="shared" si="2"/>
        <v>0</v>
      </c>
      <c r="J27" s="3"/>
      <c r="K27" s="1"/>
      <c r="L27" s="1"/>
      <c r="M27" s="1"/>
      <c r="N27" s="1"/>
    </row>
    <row r="28" spans="1:14" ht="12.75">
      <c r="A28" s="9"/>
      <c r="B28" s="33"/>
      <c r="C28" s="33"/>
      <c r="D28" s="33"/>
      <c r="E28" s="26"/>
      <c r="F28" s="8">
        <v>0</v>
      </c>
      <c r="G28" s="39">
        <v>0</v>
      </c>
      <c r="H28" s="22">
        <f>I28/'BCIS Smmary'!$L$6</f>
        <v>0</v>
      </c>
      <c r="I28" s="187">
        <f t="shared" si="2"/>
        <v>0</v>
      </c>
      <c r="J28" s="3"/>
      <c r="K28" s="1"/>
      <c r="L28" s="1"/>
      <c r="M28" s="1"/>
      <c r="N28" s="1"/>
    </row>
    <row r="29" spans="1:14" ht="12.75">
      <c r="A29" s="9"/>
      <c r="B29" s="33" t="s">
        <v>169</v>
      </c>
      <c r="C29" s="33"/>
      <c r="D29" s="33"/>
      <c r="E29" s="6" t="s">
        <v>163</v>
      </c>
      <c r="F29" s="8">
        <v>1</v>
      </c>
      <c r="G29" s="39">
        <v>10000</v>
      </c>
      <c r="H29" s="22">
        <f>I29/'BCIS Smmary'!$L$6</f>
        <v>4.406023915897816</v>
      </c>
      <c r="I29" s="187">
        <f t="shared" si="2"/>
        <v>10000</v>
      </c>
      <c r="J29" s="3"/>
      <c r="K29" s="1"/>
      <c r="L29" s="1"/>
      <c r="M29" s="1"/>
      <c r="N29" s="1"/>
    </row>
    <row r="30" spans="1:14" ht="12.75">
      <c r="A30" s="9"/>
      <c r="B30" s="33"/>
      <c r="C30" s="39"/>
      <c r="D30" s="4"/>
      <c r="E30" s="33"/>
      <c r="F30" s="8">
        <v>0</v>
      </c>
      <c r="G30" s="39">
        <v>0</v>
      </c>
      <c r="H30" s="22">
        <f>I30/'BCIS Smmary'!$L$6</f>
        <v>0</v>
      </c>
      <c r="I30" s="187">
        <f t="shared" si="2"/>
        <v>0</v>
      </c>
      <c r="J30" s="3"/>
      <c r="K30" s="1"/>
      <c r="L30" s="1"/>
      <c r="M30" s="1"/>
      <c r="N30" s="1"/>
    </row>
    <row r="31" spans="1:14" ht="12.75">
      <c r="A31" s="9"/>
      <c r="B31" s="33" t="s">
        <v>419</v>
      </c>
      <c r="C31" s="33"/>
      <c r="D31" s="229"/>
      <c r="E31" s="7" t="s">
        <v>420</v>
      </c>
      <c r="F31" s="8">
        <v>1</v>
      </c>
      <c r="G31" s="39">
        <v>11000</v>
      </c>
      <c r="H31" s="22">
        <f>I31/'BCIS Smmary'!$L$6</f>
        <v>4.846626307487598</v>
      </c>
      <c r="I31" s="187">
        <f t="shared" si="2"/>
        <v>11000</v>
      </c>
      <c r="J31" s="3"/>
      <c r="K31" s="1"/>
      <c r="L31" s="1"/>
      <c r="M31" s="1"/>
      <c r="N31" s="1"/>
    </row>
    <row r="32" spans="1:14" ht="12.75">
      <c r="A32" s="9"/>
      <c r="B32" s="33"/>
      <c r="C32" s="33"/>
      <c r="D32" s="4"/>
      <c r="E32" s="33"/>
      <c r="F32" s="8">
        <v>0</v>
      </c>
      <c r="G32" s="39">
        <v>0</v>
      </c>
      <c r="H32" s="22">
        <f>I32/'BCIS Smmary'!$L$6</f>
        <v>0</v>
      </c>
      <c r="I32" s="187">
        <f t="shared" si="2"/>
        <v>0</v>
      </c>
      <c r="J32" s="226"/>
      <c r="K32" s="1"/>
      <c r="L32" s="1"/>
      <c r="M32" s="1"/>
      <c r="N32" s="1"/>
    </row>
    <row r="33" spans="1:14" ht="12.75">
      <c r="A33" s="9"/>
      <c r="B33" s="33"/>
      <c r="C33" s="33"/>
      <c r="D33" s="229"/>
      <c r="E33" s="7"/>
      <c r="F33" s="8">
        <v>0</v>
      </c>
      <c r="G33" s="39">
        <v>0</v>
      </c>
      <c r="H33" s="22">
        <f>I33/'BCIS Smmary'!$L$6</f>
        <v>0</v>
      </c>
      <c r="I33" s="187">
        <f t="shared" si="2"/>
        <v>0</v>
      </c>
      <c r="J33" s="3"/>
      <c r="K33" s="1"/>
      <c r="L33" s="1"/>
      <c r="M33" s="1"/>
      <c r="N33" s="1"/>
    </row>
    <row r="34" spans="1:14" ht="12.75">
      <c r="A34" s="9"/>
      <c r="B34" s="33"/>
      <c r="C34" s="33"/>
      <c r="D34" s="4"/>
      <c r="E34" s="33"/>
      <c r="F34" s="8">
        <v>0</v>
      </c>
      <c r="G34" s="39">
        <v>0</v>
      </c>
      <c r="H34" s="22">
        <f>I34/'BCIS Smmary'!$L$6</f>
        <v>0</v>
      </c>
      <c r="I34" s="187">
        <f aca="true" t="shared" si="3" ref="I34:I41">F34*G34</f>
        <v>0</v>
      </c>
      <c r="J34" s="3"/>
      <c r="K34" s="1"/>
      <c r="L34" s="1"/>
      <c r="M34" s="1"/>
      <c r="N34" s="1"/>
    </row>
    <row r="35" spans="1:14" ht="12.75">
      <c r="A35" s="9"/>
      <c r="B35" s="33"/>
      <c r="C35" s="33"/>
      <c r="D35" s="229"/>
      <c r="E35" s="7"/>
      <c r="F35" s="8">
        <v>0</v>
      </c>
      <c r="G35" s="39">
        <v>0</v>
      </c>
      <c r="H35" s="22">
        <f>I35/'BCIS Smmary'!$L$6</f>
        <v>0</v>
      </c>
      <c r="I35" s="187">
        <f t="shared" si="3"/>
        <v>0</v>
      </c>
      <c r="J35" s="3"/>
      <c r="K35" s="1"/>
      <c r="L35" s="1"/>
      <c r="M35" s="1"/>
      <c r="N35" s="1"/>
    </row>
    <row r="36" spans="1:14" ht="12.75">
      <c r="A36" s="9"/>
      <c r="B36" s="33"/>
      <c r="C36" s="33"/>
      <c r="D36" s="4"/>
      <c r="E36" s="33"/>
      <c r="F36" s="8">
        <v>0</v>
      </c>
      <c r="G36" s="39">
        <v>0</v>
      </c>
      <c r="H36" s="22">
        <f>I36/'BCIS Smmary'!$L$6</f>
        <v>0</v>
      </c>
      <c r="I36" s="187">
        <f t="shared" si="3"/>
        <v>0</v>
      </c>
      <c r="J36" s="3"/>
      <c r="K36" s="1"/>
      <c r="L36" s="1"/>
      <c r="M36" s="1"/>
      <c r="N36" s="1"/>
    </row>
    <row r="37" spans="1:14" ht="12.75">
      <c r="A37" s="9"/>
      <c r="B37" s="33"/>
      <c r="C37" s="33"/>
      <c r="D37" s="229"/>
      <c r="E37" s="7"/>
      <c r="F37" s="8">
        <v>0</v>
      </c>
      <c r="G37" s="39">
        <v>0</v>
      </c>
      <c r="H37" s="22">
        <f>I37/'BCIS Smmary'!$L$6</f>
        <v>0</v>
      </c>
      <c r="I37" s="187">
        <f t="shared" si="3"/>
        <v>0</v>
      </c>
      <c r="J37" s="3"/>
      <c r="K37" s="1"/>
      <c r="L37" s="1"/>
      <c r="M37" s="1"/>
      <c r="N37" s="1"/>
    </row>
    <row r="38" spans="1:14" ht="12.75">
      <c r="A38" s="9"/>
      <c r="B38" s="33"/>
      <c r="C38" s="33"/>
      <c r="D38" s="4"/>
      <c r="E38" s="33"/>
      <c r="F38" s="8">
        <v>0</v>
      </c>
      <c r="G38" s="39">
        <v>0</v>
      </c>
      <c r="H38" s="22">
        <f>I38/'BCIS Smmary'!$L$6</f>
        <v>0</v>
      </c>
      <c r="I38" s="187">
        <f t="shared" si="3"/>
        <v>0</v>
      </c>
      <c r="J38" s="3"/>
      <c r="K38" s="1"/>
      <c r="L38" s="1"/>
      <c r="M38" s="1"/>
      <c r="N38" s="1"/>
    </row>
    <row r="39" spans="1:14" ht="12.75">
      <c r="A39" s="9"/>
      <c r="C39" s="33"/>
      <c r="D39" s="229"/>
      <c r="E39" s="7"/>
      <c r="F39" s="8">
        <v>0</v>
      </c>
      <c r="G39" s="39">
        <v>0</v>
      </c>
      <c r="H39" s="22">
        <f>I39/'BCIS Smmary'!$L$6</f>
        <v>0</v>
      </c>
      <c r="I39" s="187">
        <f t="shared" si="3"/>
        <v>0</v>
      </c>
      <c r="J39" s="3"/>
      <c r="K39" s="1"/>
      <c r="L39" s="1"/>
      <c r="M39" s="1"/>
      <c r="N39" s="1"/>
    </row>
    <row r="40" spans="1:14" ht="12.75">
      <c r="A40" s="9"/>
      <c r="C40" s="33"/>
      <c r="D40" s="4"/>
      <c r="E40" s="33"/>
      <c r="F40" s="8">
        <v>0</v>
      </c>
      <c r="G40" s="39">
        <v>0</v>
      </c>
      <c r="H40" s="22">
        <f>I40/'BCIS Smmary'!$L$6</f>
        <v>0</v>
      </c>
      <c r="I40" s="187">
        <f t="shared" si="3"/>
        <v>0</v>
      </c>
      <c r="J40" s="3"/>
      <c r="K40" s="1"/>
      <c r="L40" s="1"/>
      <c r="M40" s="1"/>
      <c r="N40" s="1"/>
    </row>
    <row r="41" spans="1:14" ht="12.75">
      <c r="A41" s="9"/>
      <c r="C41" s="33"/>
      <c r="D41" s="229"/>
      <c r="E41" s="7"/>
      <c r="F41" s="8">
        <v>0</v>
      </c>
      <c r="G41" s="39">
        <v>0</v>
      </c>
      <c r="H41" s="22">
        <f>I41/'BCIS Smmary'!$L$6</f>
        <v>0</v>
      </c>
      <c r="I41" s="187">
        <f t="shared" si="3"/>
        <v>0</v>
      </c>
      <c r="J41" s="3"/>
      <c r="K41" s="1"/>
      <c r="L41" s="217"/>
      <c r="M41" s="1"/>
      <c r="N41" s="1"/>
    </row>
    <row r="42" spans="1:14" ht="12.75">
      <c r="A42" s="9"/>
      <c r="D42" s="46"/>
      <c r="E42" s="6"/>
      <c r="F42" s="8">
        <v>0</v>
      </c>
      <c r="G42" s="39">
        <v>0</v>
      </c>
      <c r="H42" s="22">
        <f>I42/'BCIS Smmary'!$L$6</f>
        <v>0</v>
      </c>
      <c r="I42" s="187">
        <f>F42*G42</f>
        <v>0</v>
      </c>
      <c r="J42" s="3"/>
      <c r="K42" s="1"/>
      <c r="L42" s="217"/>
      <c r="M42" s="1"/>
      <c r="N42" s="1"/>
    </row>
    <row r="43" spans="1:14" ht="12.75">
      <c r="A43" s="9"/>
      <c r="D43" s="46"/>
      <c r="E43" s="6"/>
      <c r="F43" s="8">
        <v>0</v>
      </c>
      <c r="G43" s="39">
        <v>0</v>
      </c>
      <c r="H43" s="22">
        <f>I43/'BCIS Smmary'!$L$6</f>
        <v>0</v>
      </c>
      <c r="I43" s="187">
        <f>F43*G43</f>
        <v>0</v>
      </c>
      <c r="J43" s="3"/>
      <c r="K43" s="1"/>
      <c r="L43" s="217"/>
      <c r="M43" s="1"/>
      <c r="N43" s="1"/>
    </row>
    <row r="44" spans="1:14" ht="12.75">
      <c r="A44" s="9"/>
      <c r="D44" s="33"/>
      <c r="E44" s="26"/>
      <c r="F44" s="8">
        <v>0</v>
      </c>
      <c r="G44" s="39">
        <v>0</v>
      </c>
      <c r="H44" s="22">
        <f>I44/'BCIS Smmary'!$L$6</f>
        <v>0</v>
      </c>
      <c r="I44" s="187">
        <f>F44*G44</f>
        <v>0</v>
      </c>
      <c r="J44" s="3"/>
      <c r="K44" s="1"/>
      <c r="L44" s="1"/>
      <c r="M44" s="1"/>
      <c r="N44" s="1"/>
    </row>
    <row r="45" spans="1:14" ht="12.75">
      <c r="A45" s="34" t="s">
        <v>15</v>
      </c>
      <c r="B45" s="35"/>
      <c r="C45" s="35"/>
      <c r="D45" s="35"/>
      <c r="E45" s="34"/>
      <c r="F45" s="43"/>
      <c r="G45" s="43"/>
      <c r="H45" s="32">
        <f>I45/'BCIS Smmary'!$L$6</f>
        <v>54.121350710691665</v>
      </c>
      <c r="I45" s="228">
        <f>SUM(I5:I44)</f>
        <v>122834.90000000001</v>
      </c>
      <c r="J45" s="3"/>
      <c r="K45" s="1"/>
      <c r="L45" s="217"/>
      <c r="M45" s="217"/>
      <c r="N45" s="217"/>
    </row>
  </sheetData>
  <printOptions/>
  <pageMargins left="0.75" right="0.75" top="1" bottom="1" header="0.5" footer="0.5"/>
  <pageSetup fitToHeight="1" fitToWidth="1" horizontalDpi="300" verticalDpi="300" orientation="portrait" paperSize="9" scale="84" r:id="rId1"/>
  <headerFooter alignWithMargins="0">
    <oddFooter>&amp;L&amp;D  &amp;T&amp;C7
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</dc:creator>
  <cp:keywords/>
  <dc:description/>
  <cp:lastModifiedBy>bcato</cp:lastModifiedBy>
  <cp:lastPrinted>2006-08-30T19:40:55Z</cp:lastPrinted>
  <dcterms:created xsi:type="dcterms:W3CDTF">1999-06-24T13:31:52Z</dcterms:created>
  <dcterms:modified xsi:type="dcterms:W3CDTF">2006-08-31T10:16:18Z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-822417438</vt:i4>
  </property>
  <property fmtid="{D5CDD505-2E9C-101B-9397-08002B2CF9AE}" pid="3" name="_EmailSubject">
    <vt:lpwstr>Wansey Street</vt:lpwstr>
  </property>
  <property fmtid="{D5CDD505-2E9C-101B-9397-08002B2CF9AE}" pid="4" name="_AuthorEmail">
    <vt:lpwstr>John.Edmunds@wates.co.uk</vt:lpwstr>
  </property>
  <property fmtid="{D5CDD505-2E9C-101B-9397-08002B2CF9AE}" pid="5" name="_AuthorEmailDisplayName">
    <vt:lpwstr>Edmunds, John</vt:lpwstr>
  </property>
  <property fmtid="{D5CDD505-2E9C-101B-9397-08002B2CF9AE}" pid="6" name="_PreviousAdHocReviewCycleID">
    <vt:i4>1578700109</vt:i4>
  </property>
</Properties>
</file>